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nnonyacht.sharepoint.com/sites/PYCloud/Shared Documents/Szerviz/ALIGA/"/>
    </mc:Choice>
  </mc:AlternateContent>
  <xr:revisionPtr revIDLastSave="40" documentId="13_ncr:1_{B1FB69F8-3947-0E40-A7C2-B165F469FDA1}" xr6:coauthVersionLast="47" xr6:coauthVersionMax="47" xr10:uidLastSave="{52A0879F-AA10-A94F-9894-012BF1D4656F}"/>
  <bookViews>
    <workbookView xWindow="0" yWindow="500" windowWidth="28800" windowHeight="16400" xr2:uid="{00000000-000D-0000-FFFF-FFFF00000000}"/>
  </bookViews>
  <sheets>
    <sheet name="Téliesítés PannonYach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D51" i="1" s="1"/>
  <c r="E51" i="1" s="1"/>
  <c r="G51" i="1" s="1"/>
  <c r="C46" i="1"/>
  <c r="D46" i="1" s="1"/>
  <c r="E46" i="1" s="1"/>
  <c r="G46" i="1" s="1"/>
  <c r="C41" i="1"/>
  <c r="D41" i="1" s="1"/>
  <c r="E41" i="1" s="1"/>
  <c r="G41" i="1" s="1"/>
  <c r="C40" i="1"/>
  <c r="D40" i="1" s="1"/>
  <c r="C53" i="1"/>
  <c r="C45" i="1"/>
  <c r="D45" i="1" s="1"/>
  <c r="E45" i="1" s="1"/>
  <c r="G45" i="1" s="1"/>
  <c r="C19" i="1"/>
  <c r="D19" i="1" s="1"/>
  <c r="E19" i="1" s="1"/>
  <c r="G19" i="1" s="1"/>
  <c r="C17" i="1"/>
  <c r="D17" i="1" s="1"/>
  <c r="C18" i="1"/>
  <c r="D18" i="1" s="1"/>
  <c r="E18" i="1" s="1"/>
  <c r="G18" i="1" s="1"/>
  <c r="C52" i="1"/>
  <c r="D52" i="1" s="1"/>
  <c r="E52" i="1" s="1"/>
  <c r="G52" i="1" s="1"/>
  <c r="C50" i="1"/>
  <c r="D50" i="1" s="1"/>
  <c r="E50" i="1" s="1"/>
  <c r="G50" i="1" s="1"/>
  <c r="C47" i="1"/>
  <c r="D47" i="1" s="1"/>
  <c r="C42" i="1"/>
  <c r="D42" i="1"/>
  <c r="E42" i="1" s="1"/>
  <c r="G42" i="1" s="1"/>
  <c r="C37" i="1"/>
  <c r="D37" i="1" s="1"/>
  <c r="E37" i="1" s="1"/>
  <c r="G37" i="1" s="1"/>
  <c r="C36" i="1"/>
  <c r="D36" i="1" s="1"/>
  <c r="E36" i="1" s="1"/>
  <c r="G36" i="1" s="1"/>
  <c r="C35" i="1"/>
  <c r="D35" i="1" s="1"/>
  <c r="E35" i="1" s="1"/>
  <c r="G35" i="1" s="1"/>
  <c r="C34" i="1"/>
  <c r="D34" i="1" s="1"/>
  <c r="E34" i="1" s="1"/>
  <c r="G34" i="1" s="1"/>
  <c r="C33" i="1"/>
  <c r="D33" i="1" s="1"/>
  <c r="E33" i="1" s="1"/>
  <c r="G33" i="1" s="1"/>
  <c r="C30" i="1"/>
  <c r="D30" i="1" s="1"/>
  <c r="E30" i="1" s="1"/>
  <c r="G30" i="1" s="1"/>
  <c r="C29" i="1"/>
  <c r="D29" i="1" s="1"/>
  <c r="E29" i="1" s="1"/>
  <c r="G29" i="1" s="1"/>
  <c r="C28" i="1"/>
  <c r="D28" i="1" s="1"/>
  <c r="E28" i="1" s="1"/>
  <c r="G28" i="1" s="1"/>
  <c r="C27" i="1"/>
  <c r="D27" i="1" s="1"/>
  <c r="E27" i="1" s="1"/>
  <c r="G27" i="1" s="1"/>
  <c r="C26" i="1"/>
  <c r="D26" i="1" s="1"/>
  <c r="E26" i="1" s="1"/>
  <c r="G26" i="1" s="1"/>
  <c r="C25" i="1"/>
  <c r="D25" i="1" s="1"/>
  <c r="E25" i="1" s="1"/>
  <c r="G25" i="1" s="1"/>
  <c r="C24" i="1"/>
  <c r="D24" i="1" s="1"/>
  <c r="C23" i="1"/>
  <c r="D23" i="1" s="1"/>
  <c r="E23" i="1" s="1"/>
  <c r="G23" i="1" s="1"/>
  <c r="C22" i="1"/>
  <c r="D22" i="1" s="1"/>
  <c r="E22" i="1" s="1"/>
  <c r="G22" i="1" s="1"/>
  <c r="C16" i="1"/>
  <c r="D16" i="1" s="1"/>
  <c r="E16" i="1" s="1"/>
  <c r="G16" i="1" s="1"/>
  <c r="C15" i="1"/>
  <c r="D15" i="1" s="1"/>
  <c r="E15" i="1" s="1"/>
  <c r="G15" i="1" s="1"/>
  <c r="C14" i="1"/>
  <c r="D14" i="1" s="1"/>
  <c r="C13" i="1"/>
  <c r="D13" i="1" s="1"/>
  <c r="E13" i="1" s="1"/>
  <c r="G13" i="1" s="1"/>
  <c r="D57" i="1"/>
  <c r="E57" i="1" s="1"/>
  <c r="G57" i="1" s="1"/>
  <c r="D56" i="1"/>
  <c r="E56" i="1" s="1"/>
  <c r="G56" i="1" s="1"/>
  <c r="D53" i="1"/>
  <c r="E53" i="1" s="1"/>
  <c r="G53" i="1" s="1"/>
  <c r="E17" i="1" l="1"/>
  <c r="G17" i="1" s="1"/>
  <c r="E14" i="1"/>
  <c r="G14" i="1" s="1"/>
  <c r="E24" i="1"/>
  <c r="G24" i="1" s="1"/>
  <c r="H31" i="1" s="1"/>
  <c r="E40" i="1"/>
  <c r="G40" i="1" s="1"/>
  <c r="H43" i="1" s="1"/>
  <c r="H57" i="1"/>
  <c r="H48" i="1"/>
  <c r="H54" i="1"/>
  <c r="H38" i="1"/>
  <c r="H20" i="1" l="1"/>
  <c r="H58" i="1"/>
</calcChain>
</file>

<file path=xl/sharedStrings.xml><?xml version="1.0" encoding="utf-8"?>
<sst xmlns="http://schemas.openxmlformats.org/spreadsheetml/2006/main" count="63" uniqueCount="58">
  <si>
    <t>Vitorlázat, Kötélzet.</t>
  </si>
  <si>
    <t>Vízrendszer.</t>
  </si>
  <si>
    <t>Nagyvitorla leszerelése, hajtogatása</t>
  </si>
  <si>
    <t>Mennyiség</t>
  </si>
  <si>
    <t>Egység ár:</t>
  </si>
  <si>
    <t>Kabin komfort</t>
  </si>
  <si>
    <t>Elektromos berendezések</t>
  </si>
  <si>
    <t>Hajóhossz (láb)</t>
  </si>
  <si>
    <t>Amennyiben az akkumulátorok a hajón maradnak, a töltésükről gondoskodni kell. A parti csatlakozót bedugni, a töltőt bekapcsolni, az összes többi fogyasztót (bojler) lekapcsolni.</t>
  </si>
  <si>
    <t>Pannon Yacht Charter</t>
  </si>
  <si>
    <r>
      <t xml:space="preserve">Vitorlák téli tárolása vitorlavarrónál hangárban, vitorlák ellenőrzése, szükség esetén javítási ajánlat kiadása. </t>
    </r>
    <r>
      <rPr>
        <b/>
        <sz val="14"/>
        <rFont val="Calibri"/>
        <family val="2"/>
        <charset val="238"/>
        <scheme val="minor"/>
      </rPr>
      <t>Ár/Vitorla</t>
    </r>
  </si>
  <si>
    <r>
      <t xml:space="preserve">Felesleges mozgó kötélzet kifűzése. </t>
    </r>
    <r>
      <rPr>
        <b/>
        <sz val="14"/>
        <color theme="1"/>
        <rFont val="Calibri"/>
        <family val="2"/>
        <charset val="238"/>
        <scheme val="minor"/>
      </rPr>
      <t>Ár/kötél</t>
    </r>
  </si>
  <si>
    <t>Bojler kiürítése</t>
  </si>
  <si>
    <r>
      <t xml:space="preserve">Csaptelepek kifúvatása (konyha, WC, külső és belső zuhany) </t>
    </r>
    <r>
      <rPr>
        <b/>
        <sz val="14"/>
        <color theme="1"/>
        <rFont val="Calibri"/>
        <family val="2"/>
        <charset val="238"/>
        <scheme val="minor"/>
      </rPr>
      <t>Ár/csaptelep</t>
    </r>
  </si>
  <si>
    <r>
      <t xml:space="preserve">Fenékcsapok, fenékszondák hőszigetelő csomagolása (vízen tárolva) </t>
    </r>
    <r>
      <rPr>
        <b/>
        <sz val="14"/>
        <color theme="1"/>
        <rFont val="Calibri"/>
        <family val="2"/>
        <charset val="238"/>
        <scheme val="minor"/>
      </rPr>
      <t xml:space="preserve"> Ár/db</t>
    </r>
  </si>
  <si>
    <r>
      <t xml:space="preserve">Szennyvíztartály kiürítése (ha van lehetőség a kikötőben) </t>
    </r>
    <r>
      <rPr>
        <b/>
        <sz val="14"/>
        <color theme="1"/>
        <rFont val="Calibri"/>
        <family val="2"/>
        <charset val="238"/>
        <scheme val="minor"/>
      </rPr>
      <t>Ár/tartály</t>
    </r>
  </si>
  <si>
    <t xml:space="preserve">Ivóvíztartály kiürítése </t>
  </si>
  <si>
    <r>
      <t xml:space="preserve">Az ágyak alatti terek ellenőrzése, szárítása </t>
    </r>
    <r>
      <rPr>
        <b/>
        <sz val="14"/>
        <color theme="1"/>
        <rFont val="Calibri"/>
        <family val="2"/>
        <charset val="238"/>
        <scheme val="minor"/>
      </rPr>
      <t>Ár/hálókabin</t>
    </r>
  </si>
  <si>
    <r>
      <t xml:space="preserve">Kárpitok élére állítása (az alápárásodás ellen) </t>
    </r>
    <r>
      <rPr>
        <b/>
        <sz val="14"/>
        <color theme="1"/>
        <rFont val="Calibri"/>
        <family val="2"/>
        <charset val="238"/>
        <scheme val="minor"/>
      </rPr>
      <t>Ár/hálókabin</t>
    </r>
  </si>
  <si>
    <r>
      <t xml:space="preserve">Páracsapdák elhelyezése  (Ceresit páracsapda) </t>
    </r>
    <r>
      <rPr>
        <b/>
        <sz val="14"/>
        <color theme="1"/>
        <rFont val="Calibri"/>
        <family val="2"/>
        <charset val="238"/>
        <scheme val="minor"/>
      </rPr>
      <t>Ár/kabin,szalon</t>
    </r>
  </si>
  <si>
    <t xml:space="preserve"> +ÁFA</t>
  </si>
  <si>
    <t>Részösszeg:</t>
  </si>
  <si>
    <r>
      <t xml:space="preserve">Fagyálló folyadékkal a WC csésze feltöltése, öblítővízszivattyú vízmentesítése. </t>
    </r>
    <r>
      <rPr>
        <b/>
        <sz val="14"/>
        <color theme="1"/>
        <rFont val="Calibri"/>
        <family val="2"/>
        <charset val="238"/>
        <scheme val="minor"/>
      </rPr>
      <t>Ár/WC</t>
    </r>
  </si>
  <si>
    <r>
      <t xml:space="preserve">A zuhanytálcaszivattyú fagyállóval feltöltése. </t>
    </r>
    <r>
      <rPr>
        <b/>
        <sz val="14"/>
        <color theme="1"/>
        <rFont val="Calibri"/>
        <family val="2"/>
        <charset val="238"/>
        <scheme val="minor"/>
      </rPr>
      <t>Ár/zuhanytálca</t>
    </r>
  </si>
  <si>
    <r>
      <t xml:space="preserve">Hűtőgépek kiürítése, szárítása, fagyveszélyes folyadékok eltávolítása konyhából, fürdőből. </t>
    </r>
    <r>
      <rPr>
        <b/>
        <sz val="14"/>
        <color theme="1"/>
        <rFont val="Calibri"/>
        <family val="2"/>
        <charset val="238"/>
        <scheme val="minor"/>
      </rPr>
      <t>Ár/Hűtő</t>
    </r>
  </si>
  <si>
    <r>
      <t xml:space="preserve">A légkondicionáló berendezés, vízmentesítése, vagy fagyállóval feltöltése, beleértve a kondenzvíz szivattyú is.  </t>
    </r>
    <r>
      <rPr>
        <b/>
        <sz val="14"/>
        <color theme="1"/>
        <rFont val="Calibri"/>
        <family val="2"/>
        <charset val="238"/>
        <scheme val="minor"/>
      </rPr>
      <t>Ár/légkondi</t>
    </r>
  </si>
  <si>
    <r>
      <t xml:space="preserve">Az akkumulátorok kiszerelése. </t>
    </r>
    <r>
      <rPr>
        <b/>
        <sz val="14"/>
        <color theme="1"/>
        <rFont val="Calibri"/>
        <family val="2"/>
        <charset val="238"/>
        <scheme val="minor"/>
      </rPr>
      <t>Ár/db</t>
    </r>
  </si>
  <si>
    <r>
      <t xml:space="preserve">Akkumulátorok, fagymentes téli tárolása, töltése. </t>
    </r>
    <r>
      <rPr>
        <b/>
        <sz val="14"/>
        <color theme="1"/>
        <rFont val="Calibri"/>
        <family val="2"/>
        <charset val="238"/>
        <scheme val="minor"/>
      </rPr>
      <t>Ár/db</t>
    </r>
  </si>
  <si>
    <t>A hajó, tároló bakra, kocsira helyezése, a tároló szerkezet beállítása, daruzás irányítása.</t>
  </si>
  <si>
    <t>Téli takaró ponyva felhelyezése, rögzítése.</t>
  </si>
  <si>
    <t xml:space="preserve">Bimini top leszerelése, szárítása </t>
  </si>
  <si>
    <t>Spray hood leszerelése, szárítása</t>
  </si>
  <si>
    <r>
      <rPr>
        <b/>
        <i/>
        <sz val="14"/>
        <color theme="1"/>
        <rFont val="Calibri"/>
        <family val="2"/>
        <charset val="238"/>
        <scheme val="minor"/>
      </rPr>
      <t xml:space="preserve">Kiszállási díj. 250ft. /km </t>
    </r>
    <r>
      <rPr>
        <sz val="14"/>
        <color theme="1"/>
        <rFont val="Calibri"/>
        <family val="2"/>
        <charset val="238"/>
        <scheme val="minor"/>
      </rPr>
      <t>(Vevő kérésére időponthoz kötötten, Balatonfenyvesi indulástól, érkezésig számolva)</t>
    </r>
  </si>
  <si>
    <t>Ár rés</t>
  </si>
  <si>
    <t>Ro Gábor ár</t>
  </si>
  <si>
    <t>Óradíj</t>
  </si>
  <si>
    <t>A hajó, orral part felé fordítása (kikötői víz keringetés miatt)</t>
  </si>
  <si>
    <t>Figyelem! A munkák elvégzéséhez szükséges kikötői engedélyek beszerzése és a bejutás biztosítása a megrendelő feladata. Az egyéb költségeket pl. daruzás, kikötői munkavégzési díj vagy partfal használatdíját az árajánlat nem tartalmazza. Az első fagyos éjszakák után elvégzett téliesítések esetén a keletkezett károkért nem vállalunk felelősséget.</t>
  </si>
  <si>
    <t>Ár</t>
  </si>
  <si>
    <t>Fenékvíz eltávolítása a bilgéből, fenékvíz szivattyú fagyállóval feltöltése.</t>
  </si>
  <si>
    <t>Teljes nettó végösszeg:</t>
  </si>
  <si>
    <t>Orrvitorla leszerelése, hajtogatása</t>
  </si>
  <si>
    <t>Árbóc hátsó merevítő kötelének elengedése daruzáshoz (álló árbócnál)</t>
  </si>
  <si>
    <t>Ívóvízszivattyú és szűrő kiszárítása</t>
  </si>
  <si>
    <r>
      <t xml:space="preserve">A fenékcsapok kinyitásával a csövekből a víz eltávolítása (parton tárolva) </t>
    </r>
    <r>
      <rPr>
        <b/>
        <sz val="14"/>
        <color theme="1"/>
        <rFont val="Calibri"/>
        <family val="2"/>
        <charset val="238"/>
        <scheme val="minor"/>
      </rPr>
      <t>Ár/db</t>
    </r>
  </si>
  <si>
    <r>
      <rPr>
        <b/>
        <i/>
        <sz val="14"/>
        <color theme="1"/>
        <rFont val="Calibri"/>
        <family val="2"/>
        <charset val="238"/>
        <scheme val="minor"/>
      </rPr>
      <t>Árbóc döntés</t>
    </r>
    <r>
      <rPr>
        <sz val="14"/>
        <color theme="1"/>
        <rFont val="Calibri"/>
        <family val="2"/>
        <charset val="238"/>
        <scheme val="minor"/>
      </rPr>
      <t xml:space="preserve"> (az ár a daru díját nem tartalmazza)</t>
    </r>
  </si>
  <si>
    <t>Téliesítés árlista 2025</t>
  </si>
  <si>
    <t>Hajó típus:</t>
  </si>
  <si>
    <t>Kikötő:</t>
  </si>
  <si>
    <t>Hajó kikötőhely:</t>
  </si>
  <si>
    <t>Kulcs:</t>
  </si>
  <si>
    <t>Tulajdonos/Kapcsolattartó neve:</t>
  </si>
  <si>
    <t>Tulajdonos/Kapcsolattartó elérhetősége:</t>
  </si>
  <si>
    <r>
      <rPr>
        <b/>
        <i/>
        <sz val="14"/>
        <color theme="1"/>
        <rFont val="Calibri"/>
        <family val="2"/>
        <charset val="238"/>
        <scheme val="minor"/>
      </rPr>
      <t>Átalány kiszállási díj./ alkalom</t>
    </r>
    <r>
      <rPr>
        <sz val="14"/>
        <color theme="1"/>
        <rFont val="Calibri"/>
        <family val="2"/>
        <charset val="238"/>
        <scheme val="minor"/>
      </rPr>
      <t xml:space="preserve"> (15 munkanapos időablakban, az időpont álltalunk választva, előző napon jelezve) </t>
    </r>
  </si>
  <si>
    <t>Motor-gépészet</t>
  </si>
  <si>
    <t>Összár:</t>
  </si>
  <si>
    <t>A motor külső hűtőkörének, fagyállóval történő feltöltése.</t>
  </si>
  <si>
    <t>A generátor külső hűtőkörének, fagyállóval történő feltöltése.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</si>
</sst>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;[Red]\-#,##0\ &quot;Ft&quot;"/>
    <numFmt numFmtId="165" formatCode="_-* #,##0\ [$Ft-40E]_-;\-* #,##0\ [$Ft-40E]_-;_-* &quot;-&quot;??\ [$Ft-40E]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9" fillId="2" borderId="4" xfId="0" applyFont="1" applyFill="1" applyBorder="1" applyProtection="1">
      <protection locked="0"/>
    </xf>
    <xf numFmtId="0" fontId="9" fillId="2" borderId="5" xfId="0" applyFont="1" applyFill="1" applyBorder="1" applyProtection="1">
      <protection locked="0"/>
    </xf>
    <xf numFmtId="0" fontId="9" fillId="2" borderId="6" xfId="0" applyFont="1" applyFill="1" applyBorder="1" applyProtection="1">
      <protection locked="0"/>
    </xf>
    <xf numFmtId="0" fontId="1" fillId="0" borderId="0" xfId="0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165" fontId="0" fillId="0" borderId="0" xfId="0" applyNumberFormat="1"/>
    <xf numFmtId="165" fontId="0" fillId="0" borderId="2" xfId="0" applyNumberFormat="1" applyBorder="1"/>
    <xf numFmtId="165" fontId="1" fillId="0" borderId="3" xfId="0" applyNumberFormat="1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4" fillId="0" borderId="0" xfId="0" applyNumberFormat="1" applyFont="1"/>
    <xf numFmtId="0" fontId="7" fillId="0" borderId="0" xfId="0" applyFont="1" applyAlignment="1">
      <alignment wrapText="1"/>
    </xf>
    <xf numFmtId="0" fontId="8" fillId="0" borderId="0" xfId="0" applyFont="1"/>
    <xf numFmtId="0" fontId="0" fillId="0" borderId="2" xfId="0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4"/>
  <sheetViews>
    <sheetView tabSelected="1" topLeftCell="A18" zoomScaleNormal="65" workbookViewId="0">
      <selection activeCell="B10" activeCellId="9" sqref="F57 F56 F50:F53 F45:F46 F40:F42 F33:F37 F22:F30 F13:F19 F6 B5:B10"/>
    </sheetView>
  </sheetViews>
  <sheetFormatPr baseColWidth="10" defaultColWidth="8.83203125" defaultRowHeight="15" x14ac:dyDescent="0.2"/>
  <cols>
    <col min="1" max="1" width="9.1640625"/>
    <col min="2" max="2" width="143.1640625" customWidth="1"/>
    <col min="3" max="3" width="17" style="14" hidden="1" customWidth="1"/>
    <col min="4" max="4" width="25.33203125" style="14" hidden="1" customWidth="1"/>
    <col min="5" max="5" width="19.6640625" style="14" customWidth="1"/>
    <col min="6" max="6" width="10.6640625" customWidth="1"/>
    <col min="7" max="7" width="16.83203125" customWidth="1"/>
    <col min="8" max="8" width="18.33203125" customWidth="1"/>
    <col min="9" max="9" width="13.33203125" bestFit="1" customWidth="1"/>
    <col min="10" max="10" width="9.1640625"/>
  </cols>
  <sheetData>
    <row r="1" spans="2:9" x14ac:dyDescent="0.2">
      <c r="B1" s="31" t="s">
        <v>9</v>
      </c>
      <c r="C1" s="32"/>
      <c r="D1" s="32"/>
      <c r="E1" s="32"/>
      <c r="F1" s="32"/>
      <c r="G1" s="32"/>
    </row>
    <row r="2" spans="2:9" x14ac:dyDescent="0.2">
      <c r="B2" s="32"/>
      <c r="C2" s="32"/>
      <c r="D2" s="32"/>
      <c r="E2" s="32"/>
      <c r="F2" s="32"/>
      <c r="G2" s="32"/>
    </row>
    <row r="3" spans="2:9" ht="27" thickBot="1" x14ac:dyDescent="0.35">
      <c r="B3" s="33" t="s">
        <v>46</v>
      </c>
      <c r="C3" s="33"/>
      <c r="D3" s="33"/>
      <c r="E3" s="33"/>
      <c r="F3" s="33"/>
      <c r="G3" s="33"/>
    </row>
    <row r="4" spans="2:9" s="4" customFormat="1" ht="20" thickBot="1" x14ac:dyDescent="0.3">
      <c r="C4" s="5"/>
      <c r="D4" s="5"/>
      <c r="E4" s="5"/>
      <c r="F4" s="28" t="s">
        <v>7</v>
      </c>
    </row>
    <row r="5" spans="2:9" s="4" customFormat="1" ht="22.5" customHeight="1" x14ac:dyDescent="0.3">
      <c r="B5" s="1" t="s">
        <v>47</v>
      </c>
      <c r="C5" s="5" t="s">
        <v>35</v>
      </c>
      <c r="D5" s="5">
        <v>13600</v>
      </c>
      <c r="E5" s="5"/>
      <c r="F5" s="29"/>
    </row>
    <row r="6" spans="2:9" s="4" customFormat="1" ht="27.75" customHeight="1" thickBot="1" x14ac:dyDescent="0.35">
      <c r="B6" s="2" t="s">
        <v>48</v>
      </c>
      <c r="C6" s="6" t="s">
        <v>33</v>
      </c>
      <c r="D6" s="7">
        <v>1.35</v>
      </c>
      <c r="F6" s="35">
        <v>30</v>
      </c>
    </row>
    <row r="7" spans="2:9" s="4" customFormat="1" ht="27.75" customHeight="1" x14ac:dyDescent="0.3">
      <c r="B7" s="2" t="s">
        <v>49</v>
      </c>
      <c r="C7" s="6"/>
      <c r="D7" s="7"/>
      <c r="F7" s="8"/>
    </row>
    <row r="8" spans="2:9" s="4" customFormat="1" ht="27.75" customHeight="1" x14ac:dyDescent="0.3">
      <c r="B8" s="2" t="s">
        <v>50</v>
      </c>
      <c r="C8" s="6"/>
      <c r="D8" s="7"/>
      <c r="F8" s="8"/>
    </row>
    <row r="9" spans="2:9" s="4" customFormat="1" ht="27.75" customHeight="1" x14ac:dyDescent="0.3">
      <c r="B9" s="2" t="s">
        <v>51</v>
      </c>
      <c r="C9" s="6"/>
      <c r="D9" s="7"/>
      <c r="F9" s="8"/>
    </row>
    <row r="10" spans="2:9" s="4" customFormat="1" ht="27.75" customHeight="1" thickBot="1" x14ac:dyDescent="0.35">
      <c r="B10" s="3" t="s">
        <v>52</v>
      </c>
      <c r="C10" s="6"/>
      <c r="D10" s="7"/>
      <c r="F10" s="8"/>
    </row>
    <row r="11" spans="2:9" s="4" customFormat="1" ht="27.75" customHeight="1" x14ac:dyDescent="0.25">
      <c r="C11" s="6"/>
      <c r="D11" s="7"/>
      <c r="F11" s="8"/>
    </row>
    <row r="12" spans="2:9" s="4" customFormat="1" ht="19" customHeight="1" x14ac:dyDescent="0.25">
      <c r="B12" s="9" t="s">
        <v>0</v>
      </c>
      <c r="C12" s="5" t="s">
        <v>4</v>
      </c>
      <c r="D12" s="5" t="s">
        <v>34</v>
      </c>
      <c r="E12" s="5" t="s">
        <v>38</v>
      </c>
      <c r="F12" s="4" t="s">
        <v>3</v>
      </c>
      <c r="G12" s="10" t="s">
        <v>55</v>
      </c>
    </row>
    <row r="13" spans="2:9" s="4" customFormat="1" ht="19" customHeight="1" x14ac:dyDescent="0.25">
      <c r="B13" s="11" t="s">
        <v>2</v>
      </c>
      <c r="C13" s="12">
        <f>D5*1.5</f>
        <v>20400</v>
      </c>
      <c r="D13" s="12">
        <f>(($F$6/30)*1)*C13</f>
        <v>20400</v>
      </c>
      <c r="E13" s="12">
        <f>D13*($D$6)</f>
        <v>27540</v>
      </c>
      <c r="F13" s="34"/>
      <c r="G13" s="12">
        <f>E13*F13</f>
        <v>0</v>
      </c>
      <c r="I13" s="5"/>
    </row>
    <row r="14" spans="2:9" s="4" customFormat="1" ht="19" customHeight="1" x14ac:dyDescent="0.25">
      <c r="B14" s="11" t="s">
        <v>41</v>
      </c>
      <c r="C14" s="12">
        <f>D5*1.1</f>
        <v>14960.000000000002</v>
      </c>
      <c r="D14" s="12">
        <f>(($F$6/30)*1)*C14</f>
        <v>14960.000000000002</v>
      </c>
      <c r="E14" s="12">
        <f>D14*($D$6)</f>
        <v>20196.000000000004</v>
      </c>
      <c r="F14" s="34"/>
      <c r="G14" s="12">
        <f>E14*F14</f>
        <v>0</v>
      </c>
    </row>
    <row r="15" spans="2:9" s="4" customFormat="1" ht="19" customHeight="1" x14ac:dyDescent="0.25">
      <c r="B15" s="11" t="s">
        <v>30</v>
      </c>
      <c r="C15" s="12">
        <f>D5*0.8</f>
        <v>10880</v>
      </c>
      <c r="D15" s="12">
        <f>(($F$6/30)*1.1)*C15</f>
        <v>11968.000000000002</v>
      </c>
      <c r="E15" s="12">
        <f>D15*($D$6)</f>
        <v>16156.800000000003</v>
      </c>
      <c r="F15" s="34"/>
      <c r="G15" s="12">
        <f>E15*F15</f>
        <v>0</v>
      </c>
    </row>
    <row r="16" spans="2:9" s="4" customFormat="1" ht="19" customHeight="1" x14ac:dyDescent="0.25">
      <c r="B16" s="11" t="s">
        <v>31</v>
      </c>
      <c r="C16" s="12">
        <f>D5*0.6</f>
        <v>8160</v>
      </c>
      <c r="D16" s="12">
        <f>(($F$6/30)*1.1)*C16</f>
        <v>8976</v>
      </c>
      <c r="E16" s="12">
        <f>D16*($D$6)</f>
        <v>12117.6</v>
      </c>
      <c r="F16" s="34"/>
      <c r="G16" s="12">
        <f t="shared" ref="G16:G19" si="0">E16*F16</f>
        <v>0</v>
      </c>
    </row>
    <row r="17" spans="2:10" s="4" customFormat="1" ht="20" x14ac:dyDescent="0.25">
      <c r="B17" s="13" t="s">
        <v>10</v>
      </c>
      <c r="C17" s="12">
        <f>D5*0.4065</f>
        <v>5528.4</v>
      </c>
      <c r="D17" s="12">
        <f>C17</f>
        <v>5528.4</v>
      </c>
      <c r="E17" s="12">
        <f>D17*($D$6)+10000</f>
        <v>17463.34</v>
      </c>
      <c r="F17" s="34"/>
      <c r="G17" s="12">
        <f t="shared" si="0"/>
        <v>0</v>
      </c>
      <c r="I17" s="5"/>
    </row>
    <row r="18" spans="2:10" s="4" customFormat="1" ht="19" customHeight="1" x14ac:dyDescent="0.25">
      <c r="B18" s="11" t="s">
        <v>11</v>
      </c>
      <c r="C18" s="12">
        <f>D5*0.052</f>
        <v>707.19999999999993</v>
      </c>
      <c r="D18" s="12">
        <f>(($F$6/30)*1.1)*C18</f>
        <v>777.92</v>
      </c>
      <c r="E18" s="12">
        <f>D18*($D$6)</f>
        <v>1050.192</v>
      </c>
      <c r="F18" s="34"/>
      <c r="G18" s="12">
        <f t="shared" si="0"/>
        <v>0</v>
      </c>
    </row>
    <row r="19" spans="2:10" s="4" customFormat="1" ht="19" customHeight="1" x14ac:dyDescent="0.25">
      <c r="B19" s="11" t="s">
        <v>42</v>
      </c>
      <c r="C19" s="12">
        <f>D5*0.15</f>
        <v>2040</v>
      </c>
      <c r="D19" s="12">
        <f>(($F$6/30)*1.1)*C19</f>
        <v>2244</v>
      </c>
      <c r="E19" s="12">
        <f>D19*($D$6)</f>
        <v>3029.4</v>
      </c>
      <c r="F19" s="34"/>
      <c r="G19" s="12">
        <f t="shared" si="0"/>
        <v>0</v>
      </c>
    </row>
    <row r="20" spans="2:10" ht="19" customHeight="1" x14ac:dyDescent="0.25">
      <c r="E20" s="15"/>
      <c r="F20" s="27" t="s">
        <v>21</v>
      </c>
      <c r="G20" s="27"/>
      <c r="H20" s="5">
        <f>SUM(G13:G19)</f>
        <v>0</v>
      </c>
    </row>
    <row r="21" spans="2:10" s="4" customFormat="1" ht="19" customHeight="1" x14ac:dyDescent="0.25">
      <c r="B21" s="9" t="s">
        <v>1</v>
      </c>
      <c r="C21" s="5"/>
      <c r="D21" s="5"/>
      <c r="E21" s="16"/>
      <c r="F21" s="17"/>
      <c r="G21" s="5"/>
    </row>
    <row r="22" spans="2:10" s="4" customFormat="1" ht="19" customHeight="1" x14ac:dyDescent="0.25">
      <c r="B22" s="11" t="s">
        <v>15</v>
      </c>
      <c r="C22" s="12">
        <f>D5*1.3</f>
        <v>17680</v>
      </c>
      <c r="D22" s="12">
        <f>C22</f>
        <v>17680</v>
      </c>
      <c r="E22" s="12">
        <f t="shared" ref="E22:E30" si="1">D22*($D$6)</f>
        <v>23868</v>
      </c>
      <c r="F22" s="34"/>
      <c r="G22" s="12">
        <f t="shared" ref="G22:G30" si="2">E22*F22</f>
        <v>0</v>
      </c>
    </row>
    <row r="23" spans="2:10" s="4" customFormat="1" ht="19" customHeight="1" x14ac:dyDescent="0.25">
      <c r="B23" s="11" t="s">
        <v>16</v>
      </c>
      <c r="C23" s="12">
        <f>D5*0.15</f>
        <v>2040</v>
      </c>
      <c r="D23" s="12">
        <f>(($F$6/30)*1)*C23</f>
        <v>2040</v>
      </c>
      <c r="E23" s="12">
        <f t="shared" si="1"/>
        <v>2754</v>
      </c>
      <c r="F23" s="34"/>
      <c r="G23" s="12">
        <f t="shared" si="2"/>
        <v>0</v>
      </c>
    </row>
    <row r="24" spans="2:10" s="4" customFormat="1" ht="19" customHeight="1" x14ac:dyDescent="0.25">
      <c r="B24" s="11" t="s">
        <v>12</v>
      </c>
      <c r="C24" s="12">
        <f>D5*0.7</f>
        <v>9520</v>
      </c>
      <c r="D24" s="12">
        <f>(($F$6/30)*1)*C24</f>
        <v>9520</v>
      </c>
      <c r="E24" s="12">
        <f t="shared" si="1"/>
        <v>12852</v>
      </c>
      <c r="F24" s="34"/>
      <c r="G24" s="12">
        <f t="shared" si="2"/>
        <v>0</v>
      </c>
      <c r="J24" s="11"/>
    </row>
    <row r="25" spans="2:10" s="4" customFormat="1" ht="19" customHeight="1" x14ac:dyDescent="0.25">
      <c r="B25" s="11" t="s">
        <v>43</v>
      </c>
      <c r="C25" s="12">
        <f>D5*0.05</f>
        <v>680</v>
      </c>
      <c r="D25" s="12">
        <f>C25*1.15</f>
        <v>781.99999999999989</v>
      </c>
      <c r="E25" s="12">
        <f t="shared" si="1"/>
        <v>1055.6999999999998</v>
      </c>
      <c r="F25" s="34"/>
      <c r="G25" s="12">
        <f t="shared" si="2"/>
        <v>0</v>
      </c>
    </row>
    <row r="26" spans="2:10" s="4" customFormat="1" ht="19" customHeight="1" x14ac:dyDescent="0.25">
      <c r="B26" s="11" t="s">
        <v>13</v>
      </c>
      <c r="C26" s="12">
        <f>D5*0.12</f>
        <v>1632</v>
      </c>
      <c r="D26" s="12">
        <f>C26</f>
        <v>1632</v>
      </c>
      <c r="E26" s="12">
        <f t="shared" si="1"/>
        <v>2203.2000000000003</v>
      </c>
      <c r="F26" s="34"/>
      <c r="G26" s="12">
        <f t="shared" si="2"/>
        <v>0</v>
      </c>
    </row>
    <row r="27" spans="2:10" s="4" customFormat="1" ht="19" customHeight="1" x14ac:dyDescent="0.25">
      <c r="B27" s="11" t="s">
        <v>22</v>
      </c>
      <c r="C27" s="12">
        <f>D5*0.55</f>
        <v>7480.0000000000009</v>
      </c>
      <c r="D27" s="12">
        <f>C27</f>
        <v>7480.0000000000009</v>
      </c>
      <c r="E27" s="12">
        <f t="shared" si="1"/>
        <v>10098.000000000002</v>
      </c>
      <c r="F27" s="34"/>
      <c r="G27" s="12">
        <f t="shared" si="2"/>
        <v>0</v>
      </c>
    </row>
    <row r="28" spans="2:10" s="4" customFormat="1" ht="19" customHeight="1" x14ac:dyDescent="0.25">
      <c r="B28" s="11" t="s">
        <v>23</v>
      </c>
      <c r="C28" s="12">
        <f>D5*0.55</f>
        <v>7480.0000000000009</v>
      </c>
      <c r="D28" s="12">
        <f>C28</f>
        <v>7480.0000000000009</v>
      </c>
      <c r="E28" s="12">
        <f t="shared" si="1"/>
        <v>10098.000000000002</v>
      </c>
      <c r="F28" s="34"/>
      <c r="G28" s="12">
        <f t="shared" si="2"/>
        <v>0</v>
      </c>
    </row>
    <row r="29" spans="2:10" s="4" customFormat="1" ht="19" customHeight="1" x14ac:dyDescent="0.25">
      <c r="B29" s="11" t="s">
        <v>14</v>
      </c>
      <c r="C29" s="12">
        <f>D5*0.35</f>
        <v>4760</v>
      </c>
      <c r="D29" s="12">
        <f>C29</f>
        <v>4760</v>
      </c>
      <c r="E29" s="12">
        <f t="shared" si="1"/>
        <v>6426</v>
      </c>
      <c r="F29" s="34"/>
      <c r="G29" s="12">
        <f t="shared" si="2"/>
        <v>0</v>
      </c>
    </row>
    <row r="30" spans="2:10" s="4" customFormat="1" ht="19" customHeight="1" x14ac:dyDescent="0.25">
      <c r="B30" s="11" t="s">
        <v>44</v>
      </c>
      <c r="C30" s="12">
        <f>D5*0.05</f>
        <v>680</v>
      </c>
      <c r="D30" s="12">
        <f>(($F$6/30)*1.2)*C30</f>
        <v>816</v>
      </c>
      <c r="E30" s="12">
        <f t="shared" si="1"/>
        <v>1101.6000000000001</v>
      </c>
      <c r="F30" s="34"/>
      <c r="G30" s="12">
        <f t="shared" si="2"/>
        <v>0</v>
      </c>
    </row>
    <row r="31" spans="2:10" ht="19" customHeight="1" x14ac:dyDescent="0.25">
      <c r="D31" s="15"/>
      <c r="E31" s="15"/>
      <c r="F31" s="27" t="s">
        <v>21</v>
      </c>
      <c r="G31" s="27"/>
      <c r="H31" s="5">
        <f>SUM(G22:G30)</f>
        <v>0</v>
      </c>
    </row>
    <row r="32" spans="2:10" s="4" customFormat="1" ht="19" customHeight="1" x14ac:dyDescent="0.25">
      <c r="B32" s="9" t="s">
        <v>5</v>
      </c>
      <c r="C32" s="5"/>
      <c r="D32" s="5"/>
      <c r="E32" s="16"/>
      <c r="F32" s="17"/>
      <c r="G32" s="5"/>
    </row>
    <row r="33" spans="2:8" s="4" customFormat="1" ht="20" x14ac:dyDescent="0.25">
      <c r="B33" s="18" t="s">
        <v>24</v>
      </c>
      <c r="C33" s="12">
        <f>D5*0.3</f>
        <v>4080</v>
      </c>
      <c r="D33" s="12">
        <f>(($F$6/30)*1.1)*C33</f>
        <v>4488</v>
      </c>
      <c r="E33" s="12">
        <f>D33*($D$6)</f>
        <v>6058.8</v>
      </c>
      <c r="F33" s="34"/>
      <c r="G33" s="12">
        <f>E33*F33</f>
        <v>0</v>
      </c>
    </row>
    <row r="34" spans="2:8" s="4" customFormat="1" ht="19" customHeight="1" x14ac:dyDescent="0.25">
      <c r="B34" s="11" t="s">
        <v>17</v>
      </c>
      <c r="C34" s="12">
        <f>D5*0.25</f>
        <v>3400</v>
      </c>
      <c r="D34" s="12">
        <f>(($F$6/30)*1.3)*C34</f>
        <v>4420</v>
      </c>
      <c r="E34" s="12">
        <f>D34*($D$6)</f>
        <v>5967</v>
      </c>
      <c r="F34" s="34"/>
      <c r="G34" s="12">
        <f>E34*F34</f>
        <v>0</v>
      </c>
    </row>
    <row r="35" spans="2:8" s="4" customFormat="1" ht="19" customHeight="1" x14ac:dyDescent="0.25">
      <c r="B35" s="11" t="s">
        <v>18</v>
      </c>
      <c r="C35" s="12">
        <f>D5*0.2</f>
        <v>2720</v>
      </c>
      <c r="D35" s="12">
        <f>C35</f>
        <v>2720</v>
      </c>
      <c r="E35" s="12">
        <f>D35*($D$6)</f>
        <v>3672.0000000000005</v>
      </c>
      <c r="F35" s="34"/>
      <c r="G35" s="12">
        <f>E35*F35</f>
        <v>0</v>
      </c>
    </row>
    <row r="36" spans="2:8" s="4" customFormat="1" ht="19" customHeight="1" x14ac:dyDescent="0.25">
      <c r="B36" s="11" t="s">
        <v>19</v>
      </c>
      <c r="C36" s="12">
        <f>D5*0.45</f>
        <v>6120</v>
      </c>
      <c r="D36" s="12">
        <f>C36</f>
        <v>6120</v>
      </c>
      <c r="E36" s="12">
        <f>D36*($D$6)</f>
        <v>8262</v>
      </c>
      <c r="F36" s="34"/>
      <c r="G36" s="12">
        <f>E36*F36</f>
        <v>0</v>
      </c>
    </row>
    <row r="37" spans="2:8" s="4" customFormat="1" ht="19" customHeight="1" x14ac:dyDescent="0.25">
      <c r="B37" s="11" t="s">
        <v>39</v>
      </c>
      <c r="C37" s="12">
        <f>D5*0.56</f>
        <v>7616.0000000000009</v>
      </c>
      <c r="D37" s="12">
        <f>C37</f>
        <v>7616.0000000000009</v>
      </c>
      <c r="E37" s="12">
        <f>D37*($D$6)</f>
        <v>10281.600000000002</v>
      </c>
      <c r="F37" s="34"/>
      <c r="G37" s="12">
        <f>E37*F37</f>
        <v>0</v>
      </c>
    </row>
    <row r="38" spans="2:8" ht="19" customHeight="1" x14ac:dyDescent="0.25">
      <c r="D38" s="15"/>
      <c r="E38" s="15"/>
      <c r="F38" s="27" t="s">
        <v>21</v>
      </c>
      <c r="G38" s="27"/>
      <c r="H38" s="5">
        <f>SUM(G33:G37)</f>
        <v>0</v>
      </c>
    </row>
    <row r="39" spans="2:8" s="4" customFormat="1" ht="19" customHeight="1" x14ac:dyDescent="0.25">
      <c r="B39" s="9" t="s">
        <v>54</v>
      </c>
      <c r="C39" s="5"/>
      <c r="D39" s="5"/>
      <c r="E39" s="16"/>
      <c r="F39" s="17"/>
      <c r="G39" s="5"/>
    </row>
    <row r="40" spans="2:8" s="4" customFormat="1" ht="19" customHeight="1" x14ac:dyDescent="0.25">
      <c r="B40" s="11" t="s">
        <v>56</v>
      </c>
      <c r="C40" s="12">
        <f>D5*1.2</f>
        <v>16320</v>
      </c>
      <c r="D40" s="12">
        <f>(($F$6/30)*0.8)*C40</f>
        <v>13056</v>
      </c>
      <c r="E40" s="12">
        <f>D40*($D$6)</f>
        <v>17625.600000000002</v>
      </c>
      <c r="F40" s="34"/>
      <c r="G40" s="12">
        <f>E40*F40</f>
        <v>0</v>
      </c>
    </row>
    <row r="41" spans="2:8" s="4" customFormat="1" ht="19" customHeight="1" x14ac:dyDescent="0.25">
      <c r="B41" s="11" t="s">
        <v>57</v>
      </c>
      <c r="C41" s="12">
        <f>D5*1.2</f>
        <v>16320</v>
      </c>
      <c r="D41" s="12">
        <f>(($F$6/30)*0.8)*C41</f>
        <v>13056</v>
      </c>
      <c r="E41" s="12">
        <f>D41*($D$6)</f>
        <v>17625.600000000002</v>
      </c>
      <c r="F41" s="34"/>
      <c r="G41" s="12">
        <f>E41*F41</f>
        <v>0</v>
      </c>
    </row>
    <row r="42" spans="2:8" s="4" customFormat="1" ht="19" customHeight="1" x14ac:dyDescent="0.25">
      <c r="B42" s="11" t="s">
        <v>25</v>
      </c>
      <c r="C42" s="12">
        <f>D5*1.23</f>
        <v>16728</v>
      </c>
      <c r="D42" s="12">
        <f>C42</f>
        <v>16728</v>
      </c>
      <c r="E42" s="12">
        <f>D42*($D$6)</f>
        <v>22582.800000000003</v>
      </c>
      <c r="F42" s="34"/>
      <c r="G42" s="12">
        <f>E42*F42</f>
        <v>0</v>
      </c>
    </row>
    <row r="43" spans="2:8" ht="19" x14ac:dyDescent="0.25">
      <c r="E43" s="15"/>
      <c r="F43" s="27" t="s">
        <v>21</v>
      </c>
      <c r="G43" s="27"/>
      <c r="H43" s="5">
        <f>SUM(G40:G42)</f>
        <v>0</v>
      </c>
    </row>
    <row r="44" spans="2:8" s="4" customFormat="1" ht="19" customHeight="1" x14ac:dyDescent="0.25">
      <c r="B44" s="9" t="s">
        <v>6</v>
      </c>
      <c r="C44" s="5"/>
      <c r="D44" s="16"/>
      <c r="E44" s="16"/>
      <c r="F44" s="17"/>
      <c r="G44" s="5"/>
    </row>
    <row r="45" spans="2:8" s="4" customFormat="1" ht="19" customHeight="1" x14ac:dyDescent="0.25">
      <c r="B45" s="11" t="s">
        <v>26</v>
      </c>
      <c r="C45" s="12">
        <f>D5*0.244</f>
        <v>3318.4</v>
      </c>
      <c r="D45" s="12">
        <f>C45</f>
        <v>3318.4</v>
      </c>
      <c r="E45" s="12">
        <f>D45*($D$6)</f>
        <v>4479.84</v>
      </c>
      <c r="F45" s="34"/>
      <c r="G45" s="12">
        <f>E45*F45</f>
        <v>0</v>
      </c>
    </row>
    <row r="46" spans="2:8" s="4" customFormat="1" ht="19" x14ac:dyDescent="0.25">
      <c r="B46" s="11" t="s">
        <v>27</v>
      </c>
      <c r="C46" s="12">
        <f>D5*0.5</f>
        <v>6800</v>
      </c>
      <c r="D46" s="12">
        <f>C46</f>
        <v>6800</v>
      </c>
      <c r="E46" s="12">
        <f>D46*($D$6)</f>
        <v>9180</v>
      </c>
      <c r="F46" s="34"/>
      <c r="G46" s="12">
        <f>E46*F46</f>
        <v>0</v>
      </c>
    </row>
    <row r="47" spans="2:8" s="4" customFormat="1" ht="40" x14ac:dyDescent="0.25">
      <c r="B47" s="19" t="s">
        <v>8</v>
      </c>
      <c r="C47" s="20">
        <f>D5*0.35</f>
        <v>4760</v>
      </c>
      <c r="D47" s="20">
        <f>C47</f>
        <v>4760</v>
      </c>
      <c r="E47" s="12"/>
      <c r="F47" s="21"/>
      <c r="G47" s="20"/>
    </row>
    <row r="48" spans="2:8" ht="19" customHeight="1" x14ac:dyDescent="0.25">
      <c r="E48" s="15"/>
      <c r="F48" s="27" t="s">
        <v>21</v>
      </c>
      <c r="G48" s="27"/>
      <c r="H48" s="5">
        <f>SUM(G45:G47)</f>
        <v>0</v>
      </c>
    </row>
    <row r="49" spans="2:9" s="4" customFormat="1" ht="19" customHeight="1" x14ac:dyDescent="0.25">
      <c r="C49" s="5"/>
      <c r="D49" s="5"/>
      <c r="E49" s="16"/>
      <c r="F49" s="22"/>
      <c r="G49" s="8"/>
      <c r="H49" s="5"/>
    </row>
    <row r="50" spans="2:9" s="4" customFormat="1" ht="19" x14ac:dyDescent="0.25">
      <c r="B50" s="11" t="s">
        <v>28</v>
      </c>
      <c r="C50" s="12">
        <f>D5*1.25</f>
        <v>17000</v>
      </c>
      <c r="D50" s="12">
        <f>(($F$6/30)*1)*C50</f>
        <v>17000</v>
      </c>
      <c r="E50" s="12">
        <f>D50*($D$6)</f>
        <v>22950</v>
      </c>
      <c r="F50" s="34"/>
      <c r="G50" s="20">
        <f>E50*F50</f>
        <v>0</v>
      </c>
      <c r="H50" s="5"/>
    </row>
    <row r="51" spans="2:9" s="4" customFormat="1" ht="19" x14ac:dyDescent="0.25">
      <c r="B51" s="11" t="s">
        <v>36</v>
      </c>
      <c r="C51" s="12">
        <f>D5*1.39705882352941</f>
        <v>18999.999999999975</v>
      </c>
      <c r="D51" s="12">
        <f>(($F$6/30)*1)*C51</f>
        <v>18999.999999999975</v>
      </c>
      <c r="E51" s="12">
        <f>D51*($D$6)</f>
        <v>25649.999999999967</v>
      </c>
      <c r="F51" s="34"/>
      <c r="G51" s="20">
        <f>E51*F51</f>
        <v>0</v>
      </c>
      <c r="H51" s="5"/>
    </row>
    <row r="52" spans="2:9" s="4" customFormat="1" ht="19" x14ac:dyDescent="0.25">
      <c r="B52" s="11" t="s">
        <v>29</v>
      </c>
      <c r="C52" s="12">
        <f>D5*2</f>
        <v>27200</v>
      </c>
      <c r="D52" s="12">
        <f>(($F$6/30)*0.99)*C52</f>
        <v>26928</v>
      </c>
      <c r="E52" s="12">
        <f>D52*($D$6)</f>
        <v>36352.800000000003</v>
      </c>
      <c r="F52" s="34"/>
      <c r="G52" s="20">
        <f>E52*F52</f>
        <v>0</v>
      </c>
      <c r="H52" s="5"/>
    </row>
    <row r="53" spans="2:9" s="4" customFormat="1" ht="19" x14ac:dyDescent="0.25">
      <c r="B53" s="11" t="s">
        <v>45</v>
      </c>
      <c r="C53" s="12">
        <f>D5*3.5</f>
        <v>47600</v>
      </c>
      <c r="D53" s="12">
        <f>((F6-30)*1900+C53)*1.15</f>
        <v>54739.999999999993</v>
      </c>
      <c r="E53" s="12">
        <f>D53*($D$6)</f>
        <v>73899</v>
      </c>
      <c r="F53" s="34"/>
      <c r="G53" s="12">
        <f>E53*F53</f>
        <v>0</v>
      </c>
      <c r="H53" s="5"/>
    </row>
    <row r="54" spans="2:9" ht="19" customHeight="1" x14ac:dyDescent="0.25">
      <c r="E54" s="15"/>
      <c r="F54" s="30" t="s">
        <v>21</v>
      </c>
      <c r="G54" s="30"/>
      <c r="H54" s="5">
        <f>SUM(G50:G53)</f>
        <v>0</v>
      </c>
    </row>
    <row r="55" spans="2:9" s="4" customFormat="1" ht="19" customHeight="1" x14ac:dyDescent="0.25">
      <c r="C55" s="5"/>
      <c r="D55" s="5"/>
      <c r="E55" s="16"/>
      <c r="F55" s="8"/>
      <c r="G55" s="8"/>
      <c r="H55" s="5"/>
    </row>
    <row r="56" spans="2:9" s="4" customFormat="1" ht="19" customHeight="1" x14ac:dyDescent="0.25">
      <c r="B56" s="11" t="s">
        <v>53</v>
      </c>
      <c r="C56" s="12">
        <v>26000</v>
      </c>
      <c r="D56" s="12">
        <f>C56</f>
        <v>26000</v>
      </c>
      <c r="E56" s="12">
        <f>D56*($D$6)</f>
        <v>35100</v>
      </c>
      <c r="F56" s="34"/>
      <c r="G56" s="23">
        <f>E56*F56</f>
        <v>0</v>
      </c>
      <c r="H56" s="24"/>
    </row>
    <row r="57" spans="2:9" s="4" customFormat="1" ht="19" customHeight="1" x14ac:dyDescent="0.25">
      <c r="B57" s="11" t="s">
        <v>32</v>
      </c>
      <c r="C57" s="12"/>
      <c r="D57" s="12">
        <f>F57*250</f>
        <v>0</v>
      </c>
      <c r="E57" s="12">
        <f>D57*($D$6)</f>
        <v>0</v>
      </c>
      <c r="F57" s="34"/>
      <c r="G57" s="20">
        <f>E57</f>
        <v>0</v>
      </c>
      <c r="H57" s="24">
        <f>SUM(G56:G57)</f>
        <v>0</v>
      </c>
    </row>
    <row r="58" spans="2:9" s="4" customFormat="1" ht="21" customHeight="1" x14ac:dyDescent="0.25">
      <c r="C58" s="5"/>
      <c r="D58" s="5"/>
      <c r="E58" s="5"/>
      <c r="F58" s="30" t="s">
        <v>40</v>
      </c>
      <c r="G58" s="30"/>
      <c r="H58" s="5">
        <f>SUM(H13:H57)</f>
        <v>0</v>
      </c>
      <c r="I58" s="4" t="s">
        <v>20</v>
      </c>
    </row>
    <row r="59" spans="2:9" s="4" customFormat="1" ht="19" x14ac:dyDescent="0.25">
      <c r="C59" s="5"/>
      <c r="D59" s="5"/>
      <c r="E59" s="5"/>
    </row>
    <row r="60" spans="2:9" s="4" customFormat="1" ht="60" x14ac:dyDescent="0.25">
      <c r="B60" s="25" t="s">
        <v>37</v>
      </c>
      <c r="C60" s="5"/>
      <c r="D60" s="5"/>
      <c r="E60" s="5"/>
    </row>
    <row r="64" spans="2:9" ht="24" x14ac:dyDescent="0.3">
      <c r="B64" s="26"/>
    </row>
  </sheetData>
  <sheetProtection algorithmName="SHA-512" hashValue="N+D4CjWIF+B1d+quBIHs5Phv2Pv1yK2CYeA5tGtGRFNdI/5xi3AbaF6n9TVXcHGZKu+oEmCo0BI8cZx4Yu0nhQ==" saltValue="4PdtpCTWdrnKIENtiYfH1A==" spinCount="100000" sheet="1" selectLockedCells="1"/>
  <mergeCells count="10">
    <mergeCell ref="F48:G48"/>
    <mergeCell ref="F4:F5"/>
    <mergeCell ref="F54:G54"/>
    <mergeCell ref="F58:G58"/>
    <mergeCell ref="B1:G2"/>
    <mergeCell ref="B3:G3"/>
    <mergeCell ref="F20:G20"/>
    <mergeCell ref="F31:G31"/>
    <mergeCell ref="F38:G38"/>
    <mergeCell ref="F43:G43"/>
  </mergeCells>
  <printOptions horizontalCentered="1"/>
  <pageMargins left="0" right="0" top="0.15748031496062992" bottom="0.15748031496062992" header="0" footer="0"/>
  <pageSetup paperSize="9" scale="81" orientation="portrait" blackAndWhite="1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0B9B7661D2A084D93BF829409F24F7F" ma:contentTypeVersion="15" ma:contentTypeDescription="Új dokumentum létrehozása." ma:contentTypeScope="" ma:versionID="53a872576b44be322dcc7acd0d0d1d8c">
  <xsd:schema xmlns:xsd="http://www.w3.org/2001/XMLSchema" xmlns:xs="http://www.w3.org/2001/XMLSchema" xmlns:p="http://schemas.microsoft.com/office/2006/metadata/properties" xmlns:ns2="34424a09-a463-4db1-9f8a-337c61796bf1" xmlns:ns3="6b934ebd-cf26-46b7-a63d-61b3eb1717f5" targetNamespace="http://schemas.microsoft.com/office/2006/metadata/properties" ma:root="true" ma:fieldsID="5944fb12e9a2d09c3e49d6b6ff8a0354" ns2:_="" ns3:_="">
    <xsd:import namespace="34424a09-a463-4db1-9f8a-337c61796bf1"/>
    <xsd:import namespace="6b934ebd-cf26-46b7-a63d-61b3eb1717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24a09-a463-4db1-9f8a-337c61796b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ebedaa5-2062-44ae-b3af-591a81830b30}" ma:internalName="TaxCatchAll" ma:showField="CatchAllData" ma:web="34424a09-a463-4db1-9f8a-337c61796b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4ebd-cf26-46b7-a63d-61b3eb171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6bb4583-c274-4b2d-af5e-5826918776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24a09-a463-4db1-9f8a-337c61796bf1" xsi:nil="true"/>
    <lcf76f155ced4ddcb4097134ff3c332f xmlns="6b934ebd-cf26-46b7-a63d-61b3eb1717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4D3D59-C0E3-4877-98B2-CC4390E2A4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2970DB-BEF1-4B65-92AD-FDC89C20D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24a09-a463-4db1-9f8a-337c61796bf1"/>
    <ds:schemaRef ds:uri="6b934ebd-cf26-46b7-a63d-61b3eb171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173210-2F1A-46C9-A10A-39E91B800AF9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6b934ebd-cf26-46b7-a63d-61b3eb1717f5"/>
    <ds:schemaRef ds:uri="34424a09-a463-4db1-9f8a-337c61796bf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Téliesítés PannonYacht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Rogaborr</dc:creator>
  <cp:lastModifiedBy>Budai András</cp:lastModifiedBy>
  <cp:lastPrinted>2019-10-03T13:43:44Z</cp:lastPrinted>
  <dcterms:created xsi:type="dcterms:W3CDTF">2019-09-11T18:37:33Z</dcterms:created>
  <dcterms:modified xsi:type="dcterms:W3CDTF">2025-10-06T05:49:23Z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0x010100A0B9B7661D2A084D93BF829409F24F7F</vt:lpwstr>
  </property>
  <property fmtid="{D5CDD505-2E9C-101B-9397-08002B2CF9AE}" pid="3" name="MediaServiceImageTags">
    <vt:lpwstr/>
  </property>
</Properties>
</file>