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onci/Library/Mobile Documents/com~apple~CloudDocs/Pannon Yacht/Tavaszi árlista/"/>
    </mc:Choice>
  </mc:AlternateContent>
  <xr:revisionPtr revIDLastSave="0" documentId="13_ncr:1_{2C9C1089-F71D-734F-B75D-B0C4745B09A6}" xr6:coauthVersionLast="47" xr6:coauthVersionMax="47" xr10:uidLastSave="{00000000-0000-0000-0000-000000000000}"/>
  <bookViews>
    <workbookView xWindow="0" yWindow="760" windowWidth="34200" windowHeight="21380" xr2:uid="{00000000-000D-0000-FFFF-FFFF00000000}"/>
  </bookViews>
  <sheets>
    <sheet name="Munka1" sheetId="1" r:id="rId1"/>
  </sheets>
  <definedNames>
    <definedName name="_xlnm.Print_Area" localSheetId="0">Munka1!$B$2:$H$61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38" i="1"/>
  <c r="G40" i="1"/>
  <c r="E45" i="1"/>
  <c r="C39" i="1" l="1"/>
  <c r="D39" i="1" s="1"/>
  <c r="G39" i="1" s="1"/>
  <c r="C37" i="1" l="1"/>
  <c r="D37" i="1" s="1"/>
  <c r="G37" i="1" s="1"/>
  <c r="C57" i="1" l="1"/>
  <c r="D57" i="1" s="1"/>
  <c r="G57" i="1" s="1"/>
  <c r="C42" i="1"/>
  <c r="C54" i="1"/>
  <c r="D54" i="1" s="1"/>
  <c r="G54" i="1" s="1"/>
  <c r="C15" i="1"/>
  <c r="C14" i="1"/>
  <c r="C46" i="1"/>
  <c r="C45" i="1"/>
  <c r="D45" i="1" s="1"/>
  <c r="G45" i="1" s="1"/>
  <c r="C26" i="1"/>
  <c r="D26" i="1" s="1"/>
  <c r="G26" i="1" s="1"/>
  <c r="C25" i="1"/>
  <c r="D25" i="1" s="1"/>
  <c r="G25" i="1" s="1"/>
  <c r="D15" i="1" l="1"/>
  <c r="G15" i="1" s="1"/>
  <c r="D46" i="1"/>
  <c r="G46" i="1" s="1"/>
  <c r="D14" i="1"/>
  <c r="G14" i="1" s="1"/>
  <c r="D42" i="1"/>
  <c r="G42" i="1" s="1"/>
  <c r="C49" i="1"/>
  <c r="D49" i="1" s="1"/>
  <c r="G49" i="1" s="1"/>
  <c r="C48" i="1"/>
  <c r="D48" i="1" s="1"/>
  <c r="G48" i="1" s="1"/>
  <c r="C56" i="1"/>
  <c r="D56" i="1" s="1"/>
  <c r="G56" i="1" s="1"/>
  <c r="C53" i="1"/>
  <c r="C55" i="1"/>
  <c r="D55" i="1" s="1"/>
  <c r="G55" i="1" s="1"/>
  <c r="C52" i="1"/>
  <c r="C51" i="1"/>
  <c r="C50" i="1"/>
  <c r="C47" i="1"/>
  <c r="D47" i="1" s="1"/>
  <c r="G47" i="1" s="1"/>
  <c r="C41" i="1"/>
  <c r="D41" i="1" s="1"/>
  <c r="G41" i="1" s="1"/>
  <c r="C34" i="1"/>
  <c r="D34" i="1" s="1"/>
  <c r="G34" i="1" s="1"/>
  <c r="C33" i="1"/>
  <c r="D33" i="1" s="1"/>
  <c r="G33" i="1" s="1"/>
  <c r="C29" i="1"/>
  <c r="D29" i="1" s="1"/>
  <c r="G29" i="1" s="1"/>
  <c r="C22" i="1"/>
  <c r="C21" i="1"/>
  <c r="C20" i="1"/>
  <c r="C19" i="1"/>
  <c r="C18" i="1"/>
  <c r="D18" i="1" s="1"/>
  <c r="G18" i="1" s="1"/>
  <c r="C17" i="1"/>
  <c r="D17" i="1" s="1"/>
  <c r="G17" i="1" s="1"/>
  <c r="C16" i="1"/>
  <c r="D16" i="1" s="1"/>
  <c r="G16" i="1" s="1"/>
  <c r="D21" i="1" l="1"/>
  <c r="G21" i="1" s="1"/>
  <c r="D53" i="1"/>
  <c r="G53" i="1" s="1"/>
  <c r="D50" i="1"/>
  <c r="G50" i="1" s="1"/>
  <c r="D52" i="1"/>
  <c r="G52" i="1" s="1"/>
  <c r="D20" i="1"/>
  <c r="G20" i="1" s="1"/>
  <c r="D22" i="1"/>
  <c r="G22" i="1" s="1"/>
  <c r="D51" i="1"/>
  <c r="G51" i="1" s="1"/>
  <c r="D19" i="1" l="1"/>
  <c r="G19" i="1" s="1"/>
  <c r="H30" i="1" l="1"/>
  <c r="H23" i="1"/>
  <c r="H35" i="1"/>
  <c r="H59" i="1"/>
  <c r="H43" i="1"/>
  <c r="H27" i="1"/>
  <c r="H60" i="1" l="1"/>
  <c r="H61" i="1" s="1"/>
</calcChain>
</file>

<file path=xl/sharedStrings.xml><?xml version="1.0" encoding="utf-8"?>
<sst xmlns="http://schemas.openxmlformats.org/spreadsheetml/2006/main" count="64" uniqueCount="59">
  <si>
    <t>Vízrendszer.</t>
  </si>
  <si>
    <t>Mennyiség</t>
  </si>
  <si>
    <t>Ösz ár:</t>
  </si>
  <si>
    <t>Egység ár:</t>
  </si>
  <si>
    <t>Kabin komfort</t>
  </si>
  <si>
    <t>Elektromos berendezések</t>
  </si>
  <si>
    <t>Hajóhossz (láb)</t>
  </si>
  <si>
    <t>Nagyvitorla felszerelése</t>
  </si>
  <si>
    <t>A hajó, vízrerakása, kikötőhelyére mozgatása</t>
  </si>
  <si>
    <t>Téli takaróponyva levétele, tisztítása, hajtogatása</t>
  </si>
  <si>
    <t>Hajóbelső nagytakaritás</t>
  </si>
  <si>
    <t>Rudazat,Vitorlázat, Kötélzet.</t>
  </si>
  <si>
    <t>Bojler feltöltése beüzemelése</t>
  </si>
  <si>
    <t>Motor,gépészeti elemek tavaszi ellenörzése.</t>
  </si>
  <si>
    <t>Téli ponyva nyári tárolás, átvizsgálás, szükséges javítás esetén ajánlatot adunk.</t>
  </si>
  <si>
    <r>
      <rPr>
        <b/>
        <i/>
        <sz val="14"/>
        <color theme="1"/>
        <rFont val="Calibri"/>
        <family val="2"/>
        <charset val="238"/>
        <scheme val="minor"/>
      </rPr>
      <t>Hajótest vízvonal feletti felületeinek tisztítása, vízkőoldás.</t>
    </r>
    <r>
      <rPr>
        <sz val="14"/>
        <color theme="1"/>
        <rFont val="Calibri"/>
        <family val="2"/>
        <charset val="238"/>
        <scheme val="minor"/>
      </rPr>
      <t xml:space="preserve"> (Vízen tárolt hajóknál, vagy ha rendelkezésre áll folyóvíz)</t>
    </r>
  </si>
  <si>
    <r>
      <rPr>
        <b/>
        <i/>
        <sz val="14"/>
        <color theme="1"/>
        <rFont val="Calibri"/>
        <family val="2"/>
        <charset val="238"/>
        <scheme val="minor"/>
      </rPr>
      <t>Hajótest vízvonal feletti felületeinek gépi waxolása</t>
    </r>
    <r>
      <rPr>
        <sz val="14"/>
        <color theme="1"/>
        <rFont val="Calibri"/>
        <family val="2"/>
        <charset val="238"/>
        <scheme val="minor"/>
      </rPr>
      <t>.(Parton, ha a hajó állvánnyal körbejárható, csak hajótest tisztítással rendelhető)</t>
    </r>
  </si>
  <si>
    <r>
      <rPr>
        <b/>
        <i/>
        <sz val="14"/>
        <color theme="1"/>
        <rFont val="Calibri"/>
        <family val="2"/>
        <charset val="238"/>
        <scheme val="minor"/>
      </rPr>
      <t>Fedélzet mosás, tavaszi nagytakarítás.</t>
    </r>
    <r>
      <rPr>
        <sz val="14"/>
        <color theme="1"/>
        <rFont val="Calibri"/>
        <family val="2"/>
        <charset val="238"/>
        <scheme val="minor"/>
      </rPr>
      <t xml:space="preserve"> (Csak vízen, vagy ha rendelkezésre áll folyóvíz a hajó közelében.)</t>
    </r>
  </si>
  <si>
    <r>
      <rPr>
        <b/>
        <i/>
        <sz val="14"/>
        <color theme="1"/>
        <rFont val="Calibri"/>
        <family val="2"/>
        <charset val="238"/>
        <scheme val="minor"/>
      </rPr>
      <t>Fedélzeti teakburkolat vegyszeres tisztítása</t>
    </r>
    <r>
      <rPr>
        <sz val="14"/>
        <color theme="1"/>
        <rFont val="Calibri"/>
        <family val="2"/>
        <charset val="238"/>
        <scheme val="minor"/>
      </rPr>
      <t>./ m2  (Csak vízen, vagy ha rendelkezésre áll folyóvíz a hajó közelében.)</t>
    </r>
  </si>
  <si>
    <r>
      <t xml:space="preserve">Az akkumulátorok visszaszerelése, töltési rendszer ellenörzése. </t>
    </r>
    <r>
      <rPr>
        <sz val="14"/>
        <color theme="1"/>
        <rFont val="Calibri"/>
        <family val="2"/>
        <charset val="238"/>
        <scheme val="minor"/>
      </rPr>
      <t>/db.</t>
    </r>
  </si>
  <si>
    <r>
      <rPr>
        <b/>
        <i/>
        <sz val="14"/>
        <color theme="1"/>
        <rFont val="Calibri"/>
        <family val="2"/>
        <charset val="238"/>
        <scheme val="minor"/>
      </rPr>
      <t>Magnézium anódok cseréje.</t>
    </r>
    <r>
      <rPr>
        <sz val="14"/>
        <color theme="1"/>
        <rFont val="Calibri"/>
        <family val="2"/>
        <charset val="238"/>
        <scheme val="minor"/>
      </rPr>
      <t xml:space="preserve"> (Parton tárolt hajóknál. Vízen tárolásnál, az algagátlófestés alkalmával.)</t>
    </r>
  </si>
  <si>
    <r>
      <rPr>
        <b/>
        <i/>
        <sz val="14"/>
        <color theme="1"/>
        <rFont val="Calibri"/>
        <family val="2"/>
        <charset val="238"/>
        <scheme val="minor"/>
      </rPr>
      <t>Mozgókötélzet befűzése.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4"/>
        <color theme="1"/>
        <rFont val="Calibri"/>
        <family val="2"/>
        <charset val="238"/>
        <scheme val="minor"/>
      </rPr>
      <t>(ár / kötél)</t>
    </r>
  </si>
  <si>
    <t>Részösszeg:</t>
  </si>
  <si>
    <r>
      <rPr>
        <b/>
        <i/>
        <sz val="14"/>
        <color theme="1"/>
        <rFont val="Calibri"/>
        <family val="2"/>
        <charset val="238"/>
        <scheme val="minor"/>
      </rPr>
      <t>Generátor időszakos szerviz.</t>
    </r>
    <r>
      <rPr>
        <sz val="14"/>
        <color theme="1"/>
        <rFont val="Calibri"/>
        <family val="2"/>
        <charset val="238"/>
        <scheme val="minor"/>
      </rPr>
      <t xml:space="preserve"> (A szükséges cserék, a gyári előírás szerint, évente, vagy előírt  üzemóránként.)</t>
    </r>
  </si>
  <si>
    <t>Hajóméret (láb)</t>
  </si>
  <si>
    <t>Tavaszi karbantartás árlista</t>
  </si>
  <si>
    <t>Pannon Yacht</t>
  </si>
  <si>
    <t xml:space="preserve">Bimini felszerelése </t>
  </si>
  <si>
    <t>Spray hood felszerelése</t>
  </si>
  <si>
    <r>
      <rPr>
        <b/>
        <i/>
        <sz val="14"/>
        <color theme="1"/>
        <rFont val="Calibri"/>
        <family val="2"/>
        <charset val="238"/>
        <scheme val="minor"/>
      </rPr>
      <t>Motor időszakos szerviz.</t>
    </r>
    <r>
      <rPr>
        <sz val="14"/>
        <color theme="1"/>
        <rFont val="Calibri"/>
        <family val="2"/>
        <charset val="238"/>
        <scheme val="minor"/>
      </rPr>
      <t xml:space="preserve"> (A szükséges cserék, a gyártói előírás szerint, évente, vagy max. 50 üzemóránként.)</t>
    </r>
  </si>
  <si>
    <t>Teljes nettó végösszeg:</t>
  </si>
  <si>
    <t>Teljes bruttó végösszeg:</t>
  </si>
  <si>
    <r>
      <rPr>
        <b/>
        <i/>
        <sz val="14"/>
        <color theme="1"/>
        <rFont val="Calibri"/>
        <family val="2"/>
        <charset val="238"/>
        <scheme val="minor"/>
      </rPr>
      <t>Algagátló festés</t>
    </r>
    <r>
      <rPr>
        <sz val="14"/>
        <color theme="1"/>
        <rFont val="Calibri"/>
        <family val="2"/>
        <charset val="238"/>
        <scheme val="minor"/>
      </rPr>
      <t>(Bakra tétel nélkül, csak felület előkészítés, 1réteg Uni pro, v. Cruiser 250 festék felhordása. Kérésre vízen tárolt hajoknál 2réteg kérhető)</t>
    </r>
  </si>
  <si>
    <t>B.Világos, és a munkavégzés helyszíne közötti távolság.</t>
  </si>
  <si>
    <t>Hajó típus:</t>
  </si>
  <si>
    <t>Hajó kikötőhely:</t>
  </si>
  <si>
    <t>Kulcs:</t>
  </si>
  <si>
    <t>Tulajdonos/Kapcsolattartó neve:</t>
  </si>
  <si>
    <t>Tulajdonos/Kapcsolattartó elérhetősége:</t>
  </si>
  <si>
    <t>Kikötő:</t>
  </si>
  <si>
    <r>
      <rPr>
        <b/>
        <i/>
        <sz val="14"/>
        <color theme="1"/>
        <rFont val="Calibri"/>
        <family val="2"/>
        <charset val="238"/>
        <scheme val="minor"/>
      </rPr>
      <t xml:space="preserve">Árbóc hátsó merevítő kötelének, daruzás utáni visszaszerelése. </t>
    </r>
    <r>
      <rPr>
        <sz val="14"/>
        <color theme="1"/>
        <rFont val="Calibri"/>
        <family val="2"/>
        <charset val="238"/>
        <scheme val="minor"/>
      </rPr>
      <t>(álló árbocnál)</t>
    </r>
  </si>
  <si>
    <t>Orrvitorla felszerelése</t>
  </si>
  <si>
    <r>
      <rPr>
        <b/>
        <i/>
        <sz val="14"/>
        <color theme="1"/>
        <rFont val="Calibri"/>
        <family val="2"/>
        <charset val="238"/>
        <scheme val="minor"/>
      </rPr>
      <t>Árbóc állítás</t>
    </r>
    <r>
      <rPr>
        <sz val="14"/>
        <color theme="1"/>
        <rFont val="Calibri"/>
        <family val="2"/>
        <charset val="238"/>
        <scheme val="minor"/>
      </rPr>
      <t xml:space="preserve"> (abban az esetben, ha az árboc téli tárolása fektetve történt)</t>
    </r>
  </si>
  <si>
    <r>
      <rPr>
        <b/>
        <i/>
        <sz val="14"/>
        <color theme="1"/>
        <rFont val="Calibri"/>
        <family val="2"/>
        <charset val="238"/>
        <scheme val="minor"/>
      </rPr>
      <t>Fedélzet polírozás.</t>
    </r>
    <r>
      <rPr>
        <sz val="14"/>
        <color theme="1"/>
        <rFont val="Calibri"/>
        <family val="2"/>
        <charset val="238"/>
        <scheme val="minor"/>
      </rPr>
      <t xml:space="preserve"> (Minden esetben fedélzettisztítással együtt rendelhető, és csak a fényes felületekre vonatkozik, vízen vagy folyóvíz rendelkezésre állása esetén.)</t>
    </r>
  </si>
  <si>
    <t>Külső felületek karbantartása</t>
  </si>
  <si>
    <r>
      <rPr>
        <b/>
        <i/>
        <sz val="14"/>
        <color theme="1"/>
        <rFont val="Calibri"/>
        <family val="2"/>
        <charset val="238"/>
        <scheme val="minor"/>
      </rPr>
      <t>Fedélzeti teakburkolat felújítás</t>
    </r>
    <r>
      <rPr>
        <sz val="14"/>
        <color theme="1"/>
        <rFont val="Calibri"/>
        <family val="2"/>
        <charset val="238"/>
        <scheme val="minor"/>
      </rPr>
      <t>./m2 (A fedélzet hibátlan állapotának helyreállítása. Csiszolásal történik, a burkolat vékonyodásával jár)</t>
    </r>
  </si>
  <si>
    <r>
      <rPr>
        <b/>
        <i/>
        <sz val="14"/>
        <color theme="1"/>
        <rFont val="Calibri"/>
        <family val="2"/>
        <charset val="238"/>
        <scheme val="minor"/>
      </rPr>
      <t>Fedélzeti teakburkolat felület védelme.</t>
    </r>
    <r>
      <rPr>
        <sz val="14"/>
        <color theme="1"/>
        <rFont val="Calibri"/>
        <family val="2"/>
        <charset val="238"/>
        <scheme val="minor"/>
      </rPr>
      <t xml:space="preserve"> /m2 (Nano protect eljárással, véd az Uv. sugárzás károsító hatásával szemben, gátolja a nedvesség, és a szennyező anyagok felületbe szivárgását, lassítja a fedélzet fakulását.)</t>
    </r>
  </si>
  <si>
    <r>
      <rPr>
        <b/>
        <i/>
        <sz val="14"/>
        <color theme="1"/>
        <rFont val="Calibri"/>
        <family val="2"/>
        <charset val="238"/>
        <scheme val="minor"/>
      </rPr>
      <t>Kiszállási díj.</t>
    </r>
    <r>
      <rPr>
        <sz val="14"/>
        <color theme="1"/>
        <rFont val="Calibri"/>
        <family val="2"/>
        <charset val="238"/>
        <scheme val="minor"/>
      </rPr>
      <t xml:space="preserve"> 350ft. /km (Vevő kérésére időponthoz kötötten, balatonvilágosi indulástól visszaérkezésig számolva)</t>
    </r>
  </si>
  <si>
    <r>
      <rPr>
        <b/>
        <i/>
        <sz val="14"/>
        <color theme="1"/>
        <rFont val="Calibri"/>
        <family val="2"/>
        <charset val="238"/>
        <scheme val="minor"/>
      </rPr>
      <t>Hajótest vízvonal feletti felületeinek polírozása</t>
    </r>
    <r>
      <rPr>
        <sz val="14"/>
        <color theme="1"/>
        <rFont val="Calibri"/>
        <family val="2"/>
        <charset val="238"/>
        <scheme val="minor"/>
      </rPr>
      <t>.(Parton, a mattult, fényétvesztett felület javítása. Abban az esetben ha a hajótest sérült, karcos egyedi ajánlatot adunk. A munka csak akkor végezhető el, ha a hajótest állvánnyal körbejárható. A vízvonal feletti felületek tisztításával együtt rendelhető.)</t>
    </r>
  </si>
  <si>
    <r>
      <rPr>
        <b/>
        <i/>
        <sz val="14"/>
        <color theme="1"/>
        <rFont val="Calibri"/>
        <family val="2"/>
        <charset val="238"/>
        <scheme val="minor"/>
      </rPr>
      <t>Vantni feszesség beállítás.</t>
    </r>
    <r>
      <rPr>
        <sz val="14"/>
        <color theme="1"/>
        <rFont val="Calibri"/>
        <family val="2"/>
        <charset val="238"/>
        <scheme val="minor"/>
      </rPr>
      <t xml:space="preserve"> (A művelet célja a használat közbeni állókötélzet méretváltozások kompenzálása)</t>
    </r>
  </si>
  <si>
    <r>
      <rPr>
        <b/>
        <i/>
        <sz val="14"/>
        <color theme="1"/>
        <rFont val="Calibri"/>
        <family val="2"/>
        <charset val="238"/>
        <scheme val="minor"/>
      </rPr>
      <t>Generátor tavaszi beüzemelése, ellenőrzése.</t>
    </r>
    <r>
      <rPr>
        <sz val="14"/>
        <color theme="1"/>
        <rFont val="Calibri"/>
        <family val="2"/>
        <charset val="238"/>
        <scheme val="minor"/>
      </rPr>
      <t xml:space="preserve"> (Vízen, hűtés, folyadék szintek, töltés ellenőrzéssel)</t>
    </r>
  </si>
  <si>
    <r>
      <rPr>
        <b/>
        <i/>
        <sz val="14"/>
        <color theme="1"/>
        <rFont val="Calibri"/>
        <family val="2"/>
        <charset val="238"/>
        <scheme val="minor"/>
      </rPr>
      <t>Légkondicionáló berendezés  tavaszi beüzemelése, ellenőrzése</t>
    </r>
    <r>
      <rPr>
        <sz val="14"/>
        <color theme="1"/>
        <rFont val="Calibri"/>
        <family val="2"/>
        <charset val="238"/>
        <scheme val="minor"/>
      </rPr>
      <t xml:space="preserve"> (ár/légkondicionáló)</t>
    </r>
  </si>
  <si>
    <r>
      <rPr>
        <b/>
        <i/>
        <sz val="14"/>
        <color theme="1"/>
        <rFont val="Calibri"/>
        <family val="2"/>
        <charset val="238"/>
        <scheme val="minor"/>
      </rPr>
      <t>Átalány kiszállási díj./ alkalom</t>
    </r>
    <r>
      <rPr>
        <sz val="14"/>
        <color theme="1"/>
        <rFont val="Calibri"/>
        <family val="2"/>
        <charset val="238"/>
        <scheme val="minor"/>
      </rPr>
      <t xml:space="preserve"> (15 munkanapos időablakban, az időpont általunk választva, előző napon jelezve) </t>
    </r>
  </si>
  <si>
    <r>
      <rPr>
        <b/>
        <i/>
        <sz val="14"/>
        <color theme="1"/>
        <rFont val="Calibri"/>
        <family val="2"/>
        <charset val="238"/>
        <scheme val="minor"/>
      </rPr>
      <t>Árbóc állókötélzet ellenőrzése, álló árbocnál</t>
    </r>
    <r>
      <rPr>
        <sz val="14"/>
        <color theme="1"/>
        <rFont val="Calibri"/>
        <family val="2"/>
        <charset val="238"/>
        <scheme val="minor"/>
      </rPr>
      <t>. (Az álló kötélzet, spannerok, biztosító szegek, stiftek biztonsági ellenőrzése)</t>
    </r>
  </si>
  <si>
    <r>
      <t>Ivóvíztartály feltöltése</t>
    </r>
    <r>
      <rPr>
        <sz val="14"/>
        <color theme="1"/>
        <rFont val="Calibri"/>
        <family val="2"/>
        <charset val="238"/>
        <scheme val="minor"/>
      </rPr>
      <t xml:space="preserve"> (Abban az esetben, ha a hajó közelében folyóvíz áll rendelkezésre)</t>
    </r>
  </si>
  <si>
    <r>
      <rPr>
        <b/>
        <i/>
        <sz val="14"/>
        <color theme="1"/>
        <rFont val="Calibri"/>
        <family val="2"/>
        <charset val="238"/>
        <scheme val="minor"/>
      </rPr>
      <t>Kárpitok téli tárolás utáni helyre rakása.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i/>
        <sz val="14"/>
        <color theme="1"/>
        <rFont val="Calibri"/>
        <family val="2"/>
        <charset val="238"/>
        <scheme val="minor"/>
      </rPr>
      <t>(ár / kabin)</t>
    </r>
  </si>
  <si>
    <r>
      <rPr>
        <b/>
        <i/>
        <sz val="14"/>
        <color theme="1"/>
        <rFont val="Calibri"/>
        <family val="2"/>
        <charset val="238"/>
        <scheme val="minor"/>
      </rPr>
      <t>Motor tavaszi beüzemelése, ellenőrzése.</t>
    </r>
    <r>
      <rPr>
        <sz val="14"/>
        <color theme="1"/>
        <rFont val="Calibri"/>
        <family val="2"/>
        <charset val="238"/>
        <scheme val="minor"/>
      </rPr>
      <t xml:space="preserve"> (Vízen, hűtés, folyadék szintek, töltés ellenőrzéssel)</t>
    </r>
  </si>
  <si>
    <t>Ár X Méret</t>
  </si>
  <si>
    <t>Anyagár X Hajóméret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</si>
</sst>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Ft-40E]_-;\-* #,##0\ [$Ft-40E]_-;_-* &quot;-&quot;??\ [$Ft-40E]_-;_-@_-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24"/>
      <color theme="1"/>
      <name val="Calibri"/>
      <family val="2"/>
      <scheme val="minor"/>
    </font>
    <font>
      <b/>
      <i/>
      <sz val="3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1" fillId="0" borderId="0" xfId="0" applyFont="1" applyAlignment="1">
      <alignment horizontal="center"/>
    </xf>
    <xf numFmtId="0" fontId="6" fillId="0" borderId="0" xfId="0" applyFont="1"/>
    <xf numFmtId="164" fontId="1" fillId="2" borderId="2" xfId="0" applyNumberFormat="1" applyFont="1" applyFill="1" applyBorder="1"/>
    <xf numFmtId="0" fontId="4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164" fontId="1" fillId="0" borderId="5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3" borderId="3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quotePrefix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61"/>
  <sheetViews>
    <sheetView tabSelected="1" zoomScale="75" zoomScaleNormal="72" workbookViewId="0">
      <selection activeCell="B5" sqref="B5"/>
    </sheetView>
  </sheetViews>
  <sheetFormatPr baseColWidth="10" defaultColWidth="8.83203125" defaultRowHeight="15" x14ac:dyDescent="0.2"/>
  <cols>
    <col min="1" max="1" width="24.5" customWidth="1"/>
    <col min="2" max="2" width="126.33203125" customWidth="1"/>
    <col min="3" max="3" width="11.33203125" style="2" hidden="1" customWidth="1"/>
    <col min="4" max="4" width="15.1640625" style="2" customWidth="1"/>
    <col min="5" max="5" width="18" style="2" hidden="1" customWidth="1"/>
    <col min="6" max="6" width="8.83203125" customWidth="1"/>
    <col min="7" max="7" width="13.5" customWidth="1"/>
    <col min="8" max="8" width="14.33203125" bestFit="1" customWidth="1"/>
    <col min="9" max="9" width="13.33203125" bestFit="1" customWidth="1"/>
  </cols>
  <sheetData>
    <row r="2" spans="1:9" ht="47" x14ac:dyDescent="0.55000000000000004">
      <c r="B2" s="23" t="s">
        <v>26</v>
      </c>
      <c r="C2" s="23"/>
      <c r="D2" s="23"/>
      <c r="E2" s="23"/>
      <c r="F2" s="23"/>
      <c r="G2" s="23"/>
    </row>
    <row r="3" spans="1:9" ht="47" x14ac:dyDescent="0.55000000000000004">
      <c r="B3" s="23" t="s">
        <v>25</v>
      </c>
      <c r="C3" s="23"/>
      <c r="D3" s="23"/>
      <c r="E3" s="23"/>
      <c r="F3" s="23"/>
      <c r="G3" s="23"/>
    </row>
    <row r="4" spans="1:9" ht="19.25" customHeight="1" x14ac:dyDescent="0.3">
      <c r="B4" s="13"/>
      <c r="C4" s="13"/>
      <c r="D4" s="13"/>
      <c r="E4" s="13"/>
      <c r="F4" s="13"/>
      <c r="G4" s="13"/>
    </row>
    <row r="5" spans="1:9" s="14" customFormat="1" ht="31" x14ac:dyDescent="0.35">
      <c r="B5" s="21" t="s">
        <v>34</v>
      </c>
      <c r="C5" s="15">
        <v>13200</v>
      </c>
      <c r="E5" s="15"/>
    </row>
    <row r="6" spans="1:9" s="14" customFormat="1" ht="32" thickBot="1" x14ac:dyDescent="0.4">
      <c r="B6" s="21" t="s">
        <v>39</v>
      </c>
      <c r="C6" s="15"/>
      <c r="D6" s="15"/>
      <c r="E6" s="15"/>
    </row>
    <row r="7" spans="1:9" ht="31" x14ac:dyDescent="0.35">
      <c r="A7" s="1"/>
      <c r="B7" s="21" t="s">
        <v>35</v>
      </c>
      <c r="C7" s="25" t="s">
        <v>6</v>
      </c>
      <c r="F7" s="12" t="s">
        <v>24</v>
      </c>
    </row>
    <row r="8" spans="1:9" ht="32" thickBot="1" x14ac:dyDescent="0.4">
      <c r="A8" s="1"/>
      <c r="B8" s="21" t="s">
        <v>36</v>
      </c>
      <c r="C8" s="25"/>
      <c r="F8" s="18">
        <v>30</v>
      </c>
    </row>
    <row r="9" spans="1:9" ht="31" x14ac:dyDescent="0.35">
      <c r="A9" s="1"/>
      <c r="B9" s="21" t="s">
        <v>37</v>
      </c>
      <c r="C9" s="17"/>
    </row>
    <row r="10" spans="1:9" ht="31" x14ac:dyDescent="0.35">
      <c r="A10" s="1"/>
      <c r="B10" s="21" t="s">
        <v>38</v>
      </c>
      <c r="C10" s="17"/>
    </row>
    <row r="11" spans="1:9" ht="19" customHeight="1" x14ac:dyDescent="0.25">
      <c r="A11" s="1"/>
      <c r="C11" s="17"/>
    </row>
    <row r="12" spans="1:9" ht="19" customHeight="1" x14ac:dyDescent="0.25">
      <c r="A12" s="1"/>
      <c r="C12" s="17"/>
    </row>
    <row r="13" spans="1:9" ht="19" customHeight="1" x14ac:dyDescent="0.3">
      <c r="A13" s="1"/>
      <c r="B13" s="11" t="s">
        <v>11</v>
      </c>
      <c r="C13" s="3" t="s">
        <v>3</v>
      </c>
      <c r="D13" s="3" t="s">
        <v>57</v>
      </c>
      <c r="E13" s="3" t="s">
        <v>58</v>
      </c>
      <c r="F13" s="1" t="s">
        <v>1</v>
      </c>
      <c r="G13" s="1" t="s">
        <v>2</v>
      </c>
    </row>
    <row r="14" spans="1:9" s="1" customFormat="1" ht="19" customHeight="1" x14ac:dyDescent="0.25">
      <c r="B14" s="9" t="s">
        <v>7</v>
      </c>
      <c r="C14" s="5">
        <f>$C$5*1.1</f>
        <v>14520.000000000002</v>
      </c>
      <c r="D14" s="5">
        <f>(($F$8/30)*1.1)*C14*1.25</f>
        <v>19965.000000000004</v>
      </c>
      <c r="E14" s="5"/>
      <c r="F14" s="19">
        <v>0</v>
      </c>
      <c r="G14" s="5">
        <f t="shared" ref="G14:G22" si="0">D14*F14</f>
        <v>0</v>
      </c>
      <c r="I14" s="3"/>
    </row>
    <row r="15" spans="1:9" s="1" customFormat="1" ht="19" customHeight="1" x14ac:dyDescent="0.25">
      <c r="B15" s="9" t="s">
        <v>41</v>
      </c>
      <c r="C15" s="5">
        <f>$C$5*0.8</f>
        <v>10560</v>
      </c>
      <c r="D15" s="5">
        <f>(($F$8/30)*1.1)*C15*1.2</f>
        <v>13939.200000000003</v>
      </c>
      <c r="E15" s="5"/>
      <c r="F15" s="19">
        <v>0</v>
      </c>
      <c r="G15" s="5">
        <f t="shared" si="0"/>
        <v>0</v>
      </c>
    </row>
    <row r="16" spans="1:9" s="1" customFormat="1" ht="19" customHeight="1" x14ac:dyDescent="0.25">
      <c r="B16" s="9" t="s">
        <v>27</v>
      </c>
      <c r="C16" s="5">
        <f>$C$5*0.7</f>
        <v>9240</v>
      </c>
      <c r="D16" s="5">
        <f>(($F$8/30)*1)*C16*1.35</f>
        <v>12474</v>
      </c>
      <c r="E16" s="5"/>
      <c r="F16" s="19">
        <v>0</v>
      </c>
      <c r="G16" s="5">
        <f t="shared" si="0"/>
        <v>0</v>
      </c>
    </row>
    <row r="17" spans="2:8" s="1" customFormat="1" ht="19" customHeight="1" x14ac:dyDescent="0.25">
      <c r="B17" s="9" t="s">
        <v>28</v>
      </c>
      <c r="C17" s="5">
        <f>$C$5*0.5</f>
        <v>6600</v>
      </c>
      <c r="D17" s="5">
        <f>(($F$8/30)*1)*C17*1.35</f>
        <v>8910</v>
      </c>
      <c r="E17" s="5"/>
      <c r="F17" s="19">
        <v>0</v>
      </c>
      <c r="G17" s="5">
        <f t="shared" si="0"/>
        <v>0</v>
      </c>
    </row>
    <row r="18" spans="2:8" s="1" customFormat="1" ht="19" customHeight="1" x14ac:dyDescent="0.25">
      <c r="B18" s="4" t="s">
        <v>21</v>
      </c>
      <c r="C18" s="5">
        <f>$C$5*0.1</f>
        <v>1320</v>
      </c>
      <c r="D18" s="5">
        <f>(($F$8/30)*1)*C18*1.25</f>
        <v>1650</v>
      </c>
      <c r="E18" s="5"/>
      <c r="F18" s="19">
        <v>0</v>
      </c>
      <c r="G18" s="5">
        <f t="shared" si="0"/>
        <v>0</v>
      </c>
    </row>
    <row r="19" spans="2:8" s="1" customFormat="1" ht="19" customHeight="1" x14ac:dyDescent="0.25">
      <c r="B19" s="4" t="s">
        <v>40</v>
      </c>
      <c r="C19" s="5">
        <f>$C$5*0.18</f>
        <v>2376</v>
      </c>
      <c r="D19" s="5">
        <f>C19</f>
        <v>2376</v>
      </c>
      <c r="E19" s="5"/>
      <c r="F19" s="19">
        <v>0</v>
      </c>
      <c r="G19" s="5">
        <f t="shared" si="0"/>
        <v>0</v>
      </c>
    </row>
    <row r="20" spans="2:8" s="1" customFormat="1" ht="19" customHeight="1" x14ac:dyDescent="0.25">
      <c r="B20" s="4" t="s">
        <v>42</v>
      </c>
      <c r="C20" s="5">
        <f>$C$5*8.5</f>
        <v>112200</v>
      </c>
      <c r="D20" s="5">
        <f>(F8-30)*2900+C20*1.3</f>
        <v>145860</v>
      </c>
      <c r="E20" s="5"/>
      <c r="F20" s="19">
        <v>0</v>
      </c>
      <c r="G20" s="5">
        <f t="shared" si="0"/>
        <v>0</v>
      </c>
    </row>
    <row r="21" spans="2:8" s="1" customFormat="1" ht="19" customHeight="1" x14ac:dyDescent="0.25">
      <c r="B21" s="4" t="s">
        <v>53</v>
      </c>
      <c r="C21" s="5">
        <f>$C$5*1.5</f>
        <v>19800</v>
      </c>
      <c r="D21" s="5">
        <f>(($F$8/30)*1.3)*C21*1.45</f>
        <v>37323</v>
      </c>
      <c r="E21" s="5"/>
      <c r="F21" s="19">
        <v>0</v>
      </c>
      <c r="G21" s="5">
        <f t="shared" si="0"/>
        <v>0</v>
      </c>
    </row>
    <row r="22" spans="2:8" s="1" customFormat="1" ht="19" customHeight="1" x14ac:dyDescent="0.25">
      <c r="B22" s="4" t="s">
        <v>49</v>
      </c>
      <c r="C22" s="5">
        <f>$C$5*2.5</f>
        <v>33000</v>
      </c>
      <c r="D22" s="5">
        <f>(($F$8/30)*1)*C22*1.35</f>
        <v>44550</v>
      </c>
      <c r="E22" s="5"/>
      <c r="F22" s="19">
        <v>0</v>
      </c>
      <c r="G22" s="5">
        <f t="shared" si="0"/>
        <v>0</v>
      </c>
    </row>
    <row r="23" spans="2:8" s="1" customFormat="1" ht="19" customHeight="1" x14ac:dyDescent="0.25">
      <c r="C23" s="3"/>
      <c r="D23" s="3"/>
      <c r="E23" s="3"/>
      <c r="F23" s="24" t="s">
        <v>22</v>
      </c>
      <c r="G23" s="24"/>
      <c r="H23" s="3">
        <f>SUM(G14:G22)</f>
        <v>0</v>
      </c>
    </row>
    <row r="24" spans="2:8" s="1" customFormat="1" ht="19" customHeight="1" x14ac:dyDescent="0.3">
      <c r="B24" s="11" t="s">
        <v>0</v>
      </c>
      <c r="C24" s="3"/>
      <c r="D24" s="3"/>
      <c r="E24" s="3"/>
      <c r="G24" s="3"/>
    </row>
    <row r="25" spans="2:8" s="1" customFormat="1" ht="19" customHeight="1" x14ac:dyDescent="0.25">
      <c r="B25" s="9" t="s">
        <v>54</v>
      </c>
      <c r="C25" s="5">
        <f>$C$5*0.25</f>
        <v>3300</v>
      </c>
      <c r="D25" s="5">
        <f>(($F$8/30)*1)*C25*1.3</f>
        <v>4290</v>
      </c>
      <c r="E25" s="5"/>
      <c r="F25" s="19">
        <v>0</v>
      </c>
      <c r="G25" s="5">
        <f>D25*F25</f>
        <v>0</v>
      </c>
    </row>
    <row r="26" spans="2:8" s="1" customFormat="1" ht="19" customHeight="1" x14ac:dyDescent="0.25">
      <c r="B26" s="9" t="s">
        <v>12</v>
      </c>
      <c r="C26" s="5">
        <f>$C$5*0.09</f>
        <v>1188</v>
      </c>
      <c r="D26" s="5">
        <f>(($F$8/30)*1)*C26*1.45</f>
        <v>1722.6</v>
      </c>
      <c r="E26" s="5"/>
      <c r="F26" s="19">
        <v>0</v>
      </c>
      <c r="G26" s="5">
        <f>D26*F26</f>
        <v>0</v>
      </c>
    </row>
    <row r="27" spans="2:8" s="1" customFormat="1" ht="19" customHeight="1" x14ac:dyDescent="0.25">
      <c r="C27" s="3"/>
      <c r="D27" s="3"/>
      <c r="E27" s="3"/>
      <c r="F27" s="24" t="s">
        <v>22</v>
      </c>
      <c r="G27" s="24"/>
      <c r="H27" s="3">
        <f>SUM(G25:G26)</f>
        <v>0</v>
      </c>
    </row>
    <row r="28" spans="2:8" s="1" customFormat="1" ht="19" customHeight="1" x14ac:dyDescent="0.3">
      <c r="B28" s="11" t="s">
        <v>5</v>
      </c>
      <c r="C28" s="3"/>
      <c r="D28" s="3"/>
      <c r="E28" s="3"/>
      <c r="G28" s="3"/>
    </row>
    <row r="29" spans="2:8" s="1" customFormat="1" ht="19" customHeight="1" x14ac:dyDescent="0.25">
      <c r="B29" s="9" t="s">
        <v>19</v>
      </c>
      <c r="C29" s="5">
        <f>$C$5*0.4</f>
        <v>5280</v>
      </c>
      <c r="D29" s="5">
        <f>C29*1.35</f>
        <v>7128.0000000000009</v>
      </c>
      <c r="E29" s="5"/>
      <c r="F29" s="19">
        <v>0</v>
      </c>
      <c r="G29" s="5">
        <f>D29*F29</f>
        <v>0</v>
      </c>
    </row>
    <row r="30" spans="2:8" s="1" customFormat="1" ht="19" customHeight="1" x14ac:dyDescent="0.25">
      <c r="C30" s="3"/>
      <c r="D30" s="3"/>
      <c r="E30" s="3"/>
      <c r="F30" s="24" t="s">
        <v>22</v>
      </c>
      <c r="G30" s="24"/>
      <c r="H30" s="3">
        <f>SUM(G29:G29)</f>
        <v>0</v>
      </c>
    </row>
    <row r="31" spans="2:8" s="1" customFormat="1" ht="19" customHeight="1" x14ac:dyDescent="0.25">
      <c r="C31" s="3"/>
      <c r="D31" s="3"/>
      <c r="E31" s="3"/>
      <c r="F31" s="10"/>
      <c r="G31" s="10"/>
      <c r="H31" s="3"/>
    </row>
    <row r="32" spans="2:8" s="1" customFormat="1" ht="19" customHeight="1" x14ac:dyDescent="0.3">
      <c r="B32" s="11" t="s">
        <v>4</v>
      </c>
      <c r="C32" s="3"/>
      <c r="D32" s="3"/>
      <c r="E32" s="3"/>
      <c r="G32" s="3"/>
    </row>
    <row r="33" spans="2:8" s="1" customFormat="1" ht="19" customHeight="1" x14ac:dyDescent="0.25">
      <c r="B33" s="4" t="s">
        <v>55</v>
      </c>
      <c r="C33" s="5">
        <f>$C$5*0.25</f>
        <v>3300</v>
      </c>
      <c r="D33" s="5">
        <f>C33*1.35</f>
        <v>4455</v>
      </c>
      <c r="E33" s="5"/>
      <c r="F33" s="19">
        <v>0</v>
      </c>
      <c r="G33" s="5">
        <f>D33*F33</f>
        <v>0</v>
      </c>
    </row>
    <row r="34" spans="2:8" s="1" customFormat="1" ht="19" customHeight="1" x14ac:dyDescent="0.25">
      <c r="B34" s="9" t="s">
        <v>10</v>
      </c>
      <c r="C34" s="5">
        <f>$C$5*3</f>
        <v>39600</v>
      </c>
      <c r="D34" s="5">
        <f>(($F$8/30)*1.4)*C34</f>
        <v>55440</v>
      </c>
      <c r="E34" s="5"/>
      <c r="F34" s="19">
        <v>0</v>
      </c>
      <c r="G34" s="5">
        <f>D34*F34</f>
        <v>0</v>
      </c>
    </row>
    <row r="35" spans="2:8" s="1" customFormat="1" ht="19" customHeight="1" x14ac:dyDescent="0.25">
      <c r="C35" s="3"/>
      <c r="D35" s="3"/>
      <c r="E35" s="3"/>
      <c r="F35" s="24" t="s">
        <v>22</v>
      </c>
      <c r="G35" s="24"/>
      <c r="H35" s="3">
        <f>SUM(G33:G34)</f>
        <v>0</v>
      </c>
    </row>
    <row r="36" spans="2:8" s="1" customFormat="1" ht="19" customHeight="1" x14ac:dyDescent="0.3">
      <c r="B36" s="11" t="s">
        <v>13</v>
      </c>
      <c r="C36" s="3"/>
      <c r="D36" s="3"/>
      <c r="E36" s="3"/>
      <c r="G36" s="3"/>
    </row>
    <row r="37" spans="2:8" s="1" customFormat="1" ht="19" customHeight="1" x14ac:dyDescent="0.25">
      <c r="B37" s="4" t="s">
        <v>56</v>
      </c>
      <c r="C37" s="5">
        <f>$C$5*0.6</f>
        <v>7920</v>
      </c>
      <c r="D37" s="5">
        <f>(($F$8/30)*0.9)*C37*1.36</f>
        <v>9694.08</v>
      </c>
      <c r="E37" s="5"/>
      <c r="F37" s="19">
        <v>0</v>
      </c>
      <c r="G37" s="5">
        <f t="shared" ref="G37:G42" si="1">D37*F37</f>
        <v>0</v>
      </c>
    </row>
    <row r="38" spans="2:8" s="1" customFormat="1" ht="19" customHeight="1" x14ac:dyDescent="0.25">
      <c r="B38" s="4" t="s">
        <v>29</v>
      </c>
      <c r="C38" s="5"/>
      <c r="D38" s="5">
        <v>149500</v>
      </c>
      <c r="E38" s="5"/>
      <c r="F38" s="19">
        <v>0</v>
      </c>
      <c r="G38" s="5">
        <f t="shared" si="1"/>
        <v>0</v>
      </c>
    </row>
    <row r="39" spans="2:8" s="1" customFormat="1" ht="19" customHeight="1" x14ac:dyDescent="0.25">
      <c r="B39" s="4" t="s">
        <v>50</v>
      </c>
      <c r="C39" s="5">
        <f>$C$5*0.5</f>
        <v>6600</v>
      </c>
      <c r="D39" s="5">
        <f>(($F$8/30)*0.9)*C39*1.4</f>
        <v>8316</v>
      </c>
      <c r="E39" s="5"/>
      <c r="F39" s="19">
        <v>0</v>
      </c>
      <c r="G39" s="5">
        <f t="shared" si="1"/>
        <v>0</v>
      </c>
    </row>
    <row r="40" spans="2:8" s="1" customFormat="1" ht="19" customHeight="1" x14ac:dyDescent="0.25">
      <c r="B40" s="4" t="s">
        <v>23</v>
      </c>
      <c r="C40" s="5"/>
      <c r="D40" s="5">
        <v>149500</v>
      </c>
      <c r="E40" s="5"/>
      <c r="F40" s="19">
        <v>0</v>
      </c>
      <c r="G40" s="5">
        <f t="shared" si="1"/>
        <v>0</v>
      </c>
    </row>
    <row r="41" spans="2:8" s="1" customFormat="1" ht="19" customHeight="1" x14ac:dyDescent="0.25">
      <c r="B41" s="4" t="s">
        <v>20</v>
      </c>
      <c r="C41" s="5">
        <f>$C$5*0.6</f>
        <v>7920</v>
      </c>
      <c r="D41" s="5">
        <f>C41*1.35</f>
        <v>10692</v>
      </c>
      <c r="E41" s="5"/>
      <c r="F41" s="19">
        <v>0</v>
      </c>
      <c r="G41" s="5">
        <f t="shared" si="1"/>
        <v>0</v>
      </c>
    </row>
    <row r="42" spans="2:8" s="1" customFormat="1" ht="19" customHeight="1" x14ac:dyDescent="0.25">
      <c r="B42" s="4" t="s">
        <v>51</v>
      </c>
      <c r="C42" s="5">
        <f>$C$5*0.35</f>
        <v>4620</v>
      </c>
      <c r="D42" s="5">
        <f>C42*1.35</f>
        <v>6237</v>
      </c>
      <c r="E42" s="5"/>
      <c r="F42" s="19">
        <v>0</v>
      </c>
      <c r="G42" s="5">
        <f t="shared" si="1"/>
        <v>0</v>
      </c>
    </row>
    <row r="43" spans="2:8" s="1" customFormat="1" ht="19" x14ac:dyDescent="0.25">
      <c r="C43" s="3"/>
      <c r="D43" s="3"/>
      <c r="E43" s="3"/>
      <c r="F43" s="24" t="s">
        <v>22</v>
      </c>
      <c r="G43" s="24"/>
      <c r="H43" s="3">
        <f>SUM(G37:G42)</f>
        <v>0</v>
      </c>
    </row>
    <row r="44" spans="2:8" s="1" customFormat="1" ht="19" customHeight="1" x14ac:dyDescent="0.3">
      <c r="B44" s="11" t="s">
        <v>44</v>
      </c>
      <c r="C44" s="3"/>
      <c r="D44" s="3"/>
      <c r="E44" s="3"/>
      <c r="F44" s="10"/>
      <c r="G44" s="10"/>
      <c r="H44" s="3"/>
    </row>
    <row r="45" spans="2:8" s="1" customFormat="1" ht="20" x14ac:dyDescent="0.25">
      <c r="B45" s="8" t="s">
        <v>32</v>
      </c>
      <c r="C45" s="5">
        <f>$C$5*5</f>
        <v>66000</v>
      </c>
      <c r="D45" s="5">
        <f>(($F$8/30)*1.2)*C45*1.353+E45</f>
        <v>152157.59999999998</v>
      </c>
      <c r="E45" s="5">
        <f>(F8^2)/30*1500</f>
        <v>45000</v>
      </c>
      <c r="F45" s="20">
        <v>0</v>
      </c>
      <c r="G45" s="6">
        <f t="shared" ref="G45:G58" si="2">D45*F45</f>
        <v>0</v>
      </c>
      <c r="H45" s="3"/>
    </row>
    <row r="46" spans="2:8" s="1" customFormat="1" ht="19" customHeight="1" x14ac:dyDescent="0.25">
      <c r="B46" s="9" t="s">
        <v>9</v>
      </c>
      <c r="C46" s="5">
        <f>$C$5*2</f>
        <v>26400</v>
      </c>
      <c r="D46" s="5">
        <f>(($F$8/30)*1)*C46*1.2</f>
        <v>31680</v>
      </c>
      <c r="E46" s="5"/>
      <c r="F46" s="19">
        <v>0</v>
      </c>
      <c r="G46" s="6">
        <f t="shared" si="2"/>
        <v>0</v>
      </c>
      <c r="H46" s="3"/>
    </row>
    <row r="47" spans="2:8" s="1" customFormat="1" ht="19" customHeight="1" x14ac:dyDescent="0.25">
      <c r="B47" s="9" t="s">
        <v>14</v>
      </c>
      <c r="C47" s="5">
        <f>$C$5*0.5</f>
        <v>6600</v>
      </c>
      <c r="D47" s="5">
        <f>C47*1.35+E47</f>
        <v>18910</v>
      </c>
      <c r="E47" s="5">
        <v>10000</v>
      </c>
      <c r="F47" s="19">
        <v>0</v>
      </c>
      <c r="G47" s="6">
        <f t="shared" si="2"/>
        <v>0</v>
      </c>
      <c r="H47" s="3"/>
    </row>
    <row r="48" spans="2:8" s="1" customFormat="1" ht="19" customHeight="1" x14ac:dyDescent="0.25">
      <c r="B48" s="9" t="s">
        <v>8</v>
      </c>
      <c r="C48" s="5">
        <f>$C$5*1.6</f>
        <v>21120</v>
      </c>
      <c r="D48" s="5">
        <f>(($F$8/30)*1.1)*C48</f>
        <v>23232.000000000004</v>
      </c>
      <c r="E48" s="5"/>
      <c r="F48" s="19">
        <v>0</v>
      </c>
      <c r="G48" s="6">
        <f t="shared" si="2"/>
        <v>0</v>
      </c>
      <c r="H48" s="3"/>
    </row>
    <row r="49" spans="1:8" s="1" customFormat="1" ht="19" customHeight="1" x14ac:dyDescent="0.25">
      <c r="B49" s="4" t="s">
        <v>15</v>
      </c>
      <c r="C49" s="5">
        <f>$C$5*1.5</f>
        <v>19800</v>
      </c>
      <c r="D49" s="5">
        <f>(($F$8/30)*1.2)*C49*1.35</f>
        <v>32076.000000000004</v>
      </c>
      <c r="E49" s="5"/>
      <c r="F49" s="19">
        <v>0</v>
      </c>
      <c r="G49" s="6">
        <f t="shared" si="2"/>
        <v>0</v>
      </c>
      <c r="H49" s="3"/>
    </row>
    <row r="50" spans="1:8" s="1" customFormat="1" ht="40" x14ac:dyDescent="0.25">
      <c r="B50" s="7" t="s">
        <v>48</v>
      </c>
      <c r="C50" s="5">
        <f>$C$5*5</f>
        <v>66000</v>
      </c>
      <c r="D50" s="5">
        <f>(($F$8/25)*1)*C50*1.35</f>
        <v>106920</v>
      </c>
      <c r="E50" s="5"/>
      <c r="F50" s="19">
        <v>0</v>
      </c>
      <c r="G50" s="6">
        <f t="shared" si="2"/>
        <v>0</v>
      </c>
      <c r="H50" s="3"/>
    </row>
    <row r="51" spans="1:8" s="1" customFormat="1" ht="19" customHeight="1" x14ac:dyDescent="0.25">
      <c r="B51" s="4" t="s">
        <v>16</v>
      </c>
      <c r="C51" s="5">
        <f>$C$5*2.5</f>
        <v>33000</v>
      </c>
      <c r="D51" s="5">
        <f>(($F$8/25)*1)*C51*1.35</f>
        <v>53460</v>
      </c>
      <c r="E51" s="5"/>
      <c r="F51" s="19">
        <v>0</v>
      </c>
      <c r="G51" s="6">
        <f t="shared" si="2"/>
        <v>0</v>
      </c>
      <c r="H51" s="3"/>
    </row>
    <row r="52" spans="1:8" s="1" customFormat="1" ht="19" customHeight="1" x14ac:dyDescent="0.25">
      <c r="B52" s="4" t="s">
        <v>17</v>
      </c>
      <c r="C52" s="5">
        <f>$C$5*3.2</f>
        <v>42240</v>
      </c>
      <c r="D52" s="5">
        <f>(($F$8/25)*1)*C52*1.35</f>
        <v>68428.800000000003</v>
      </c>
      <c r="E52" s="5"/>
      <c r="F52" s="19">
        <v>0</v>
      </c>
      <c r="G52" s="6">
        <f t="shared" si="2"/>
        <v>0</v>
      </c>
      <c r="H52" s="3"/>
    </row>
    <row r="53" spans="1:8" s="1" customFormat="1" ht="39" customHeight="1" x14ac:dyDescent="0.25">
      <c r="B53" s="8" t="s">
        <v>43</v>
      </c>
      <c r="C53" s="5">
        <f>$C$5*6</f>
        <v>79200</v>
      </c>
      <c r="D53" s="5">
        <f>(($F$8/25)*1.3)*C53*1.3</f>
        <v>160617.60000000001</v>
      </c>
      <c r="E53" s="5"/>
      <c r="F53" s="19">
        <v>0</v>
      </c>
      <c r="G53" s="6">
        <f t="shared" si="2"/>
        <v>0</v>
      </c>
      <c r="H53" s="3"/>
    </row>
    <row r="54" spans="1:8" s="1" customFormat="1" ht="19" customHeight="1" x14ac:dyDescent="0.25">
      <c r="B54" s="4" t="s">
        <v>18</v>
      </c>
      <c r="C54" s="5">
        <f>($C$5*0.5)+3000</f>
        <v>9600</v>
      </c>
      <c r="D54" s="5">
        <f>C54*1.35</f>
        <v>12960</v>
      </c>
      <c r="E54" s="5"/>
      <c r="F54" s="19">
        <v>0</v>
      </c>
      <c r="G54" s="6">
        <f t="shared" si="2"/>
        <v>0</v>
      </c>
      <c r="H54" s="3"/>
    </row>
    <row r="55" spans="1:8" s="1" customFormat="1" ht="19" customHeight="1" x14ac:dyDescent="0.25">
      <c r="B55" s="4" t="s">
        <v>45</v>
      </c>
      <c r="C55" s="5">
        <f>$C$5*1</f>
        <v>13200</v>
      </c>
      <c r="D55" s="5">
        <f>C55*1.35</f>
        <v>17820</v>
      </c>
      <c r="E55" s="5"/>
      <c r="F55" s="19">
        <v>0</v>
      </c>
      <c r="G55" s="6">
        <f t="shared" si="2"/>
        <v>0</v>
      </c>
      <c r="H55" s="3"/>
    </row>
    <row r="56" spans="1:8" s="1" customFormat="1" ht="39.5" customHeight="1" x14ac:dyDescent="0.25">
      <c r="B56" s="8" t="s">
        <v>46</v>
      </c>
      <c r="C56" s="5">
        <f>($C$5*1.6)+2500</f>
        <v>23620</v>
      </c>
      <c r="D56" s="5">
        <f>C56*1.35</f>
        <v>31887.000000000004</v>
      </c>
      <c r="E56" s="5"/>
      <c r="F56" s="19">
        <v>0</v>
      </c>
      <c r="G56" s="6">
        <f t="shared" si="2"/>
        <v>0</v>
      </c>
      <c r="H56" s="3"/>
    </row>
    <row r="57" spans="1:8" s="1" customFormat="1" ht="19" customHeight="1" x14ac:dyDescent="0.25">
      <c r="B57" s="4" t="s">
        <v>52</v>
      </c>
      <c r="C57" s="5">
        <f>C5*2</f>
        <v>26400</v>
      </c>
      <c r="D57" s="5">
        <f>C57*1.2</f>
        <v>31680</v>
      </c>
      <c r="E57" s="5"/>
      <c r="F57" s="19">
        <v>1</v>
      </c>
      <c r="G57" s="6">
        <f t="shared" si="2"/>
        <v>31680</v>
      </c>
      <c r="H57" s="3"/>
    </row>
    <row r="58" spans="1:8" s="1" customFormat="1" ht="34.75" customHeight="1" x14ac:dyDescent="0.25">
      <c r="B58" s="4" t="s">
        <v>47</v>
      </c>
      <c r="C58" s="26" t="s">
        <v>33</v>
      </c>
      <c r="D58" s="27"/>
      <c r="E58" s="16"/>
      <c r="F58" s="19">
        <v>0</v>
      </c>
      <c r="G58" s="6">
        <f>350*F58</f>
        <v>0</v>
      </c>
      <c r="H58" s="3"/>
    </row>
    <row r="59" spans="1:8" ht="19" customHeight="1" x14ac:dyDescent="0.25">
      <c r="A59" s="1"/>
      <c r="F59" s="22" t="s">
        <v>22</v>
      </c>
      <c r="G59" s="22"/>
      <c r="H59" s="2">
        <f>SUM(G45:G58)</f>
        <v>31680</v>
      </c>
    </row>
    <row r="60" spans="1:8" ht="19" customHeight="1" x14ac:dyDescent="0.25">
      <c r="A60" s="1"/>
      <c r="F60" s="22" t="s">
        <v>30</v>
      </c>
      <c r="G60" s="22"/>
      <c r="H60" s="2">
        <f>SUM(H23:H59)</f>
        <v>31680</v>
      </c>
    </row>
    <row r="61" spans="1:8" x14ac:dyDescent="0.2">
      <c r="F61" s="22" t="s">
        <v>31</v>
      </c>
      <c r="G61" s="22"/>
      <c r="H61" s="2">
        <f>H60*1.27</f>
        <v>40233.599999999999</v>
      </c>
    </row>
  </sheetData>
  <sheetProtection algorithmName="SHA-512" hashValue="B1i0JW7ZDhIu874CwbxVSiRKz1PQpW3jPxCuwekmSPzBHFgCvoLFYPCGK8b/JI8ylfJ+G+Mis3WB5p4MNWY4oA==" saltValue="Vhk0y3y9YmR7MpCVoyS/Ug==" spinCount="100000" sheet="1" objects="1" scenarios="1" selectLockedCells="1"/>
  <mergeCells count="12">
    <mergeCell ref="F61:G61"/>
    <mergeCell ref="B2:G2"/>
    <mergeCell ref="F30:G30"/>
    <mergeCell ref="C7:C8"/>
    <mergeCell ref="F59:G59"/>
    <mergeCell ref="F60:G60"/>
    <mergeCell ref="B3:G3"/>
    <mergeCell ref="F23:G23"/>
    <mergeCell ref="F27:G27"/>
    <mergeCell ref="F35:G35"/>
    <mergeCell ref="F43:G43"/>
    <mergeCell ref="C58:D58"/>
  </mergeCells>
  <printOptions horizontalCentered="1"/>
  <pageMargins left="0" right="0" top="0.15748031496062992" bottom="0.15748031496062992" header="0" footer="0"/>
  <pageSetup paperSize="9" scale="58" orientation="portrait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Munka1</vt:lpstr>
      <vt:lpstr>Munka1!Print_Area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Rogaborr</dc:creator>
  <cp:lastModifiedBy>Boncföldi Máté</cp:lastModifiedBy>
  <cp:lastPrinted>2019-10-03T13:43:44Z</cp:lastPrinted>
  <dcterms:created xsi:type="dcterms:W3CDTF">2019-09-11T18:37:33Z</dcterms:created>
  <dcterms:modified xsi:type="dcterms:W3CDTF">2025-04-02T13:07:33Z</dcterms:modified>
</cp:coreProperties>
</file>